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3A102F24-5F9B-44E6-B108-3B2F38E0F78E}" xr6:coauthVersionLast="47" xr6:coauthVersionMax="47" xr10:uidLastSave="{00000000-0000-0000-0000-000000000000}"/>
  <bookViews>
    <workbookView xWindow="6765" yWindow="3975" windowWidth="23505" windowHeight="12675" tabRatio="845" firstSheet="1" activeTab="1"/>
  </bookViews>
  <sheets>
    <sheet name="전체집계표" sheetId="146" state="hidden" r:id="rId1"/>
    <sheet name="집계표" sheetId="92" r:id="rId2"/>
    <sheet name="백련리(국공유지포함)" sheetId="115" r:id="rId3"/>
  </sheets>
  <definedNames>
    <definedName name="_xlnm._FilterDatabase" localSheetId="2" hidden="1">'백련리(국공유지포함)'!$A$6:$P$101</definedName>
    <definedName name="_xlnm.Print_Area" localSheetId="2">'백련리(국공유지포함)'!$A$1:$K$107</definedName>
    <definedName name="_xlnm.Print_Area" localSheetId="0">전체집계표!$A$1:$H$129</definedName>
    <definedName name="_xlnm.Print_Area" localSheetId="1">집계표!$A$1:$N$31</definedName>
    <definedName name="_xlnm.Print_Titles" localSheetId="2">'백련리(국공유지포함)'!$1:$5</definedName>
    <definedName name="_xlnm.Print_Titles" localSheetId="1">집계표!$1:$1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1" i="115" l="1"/>
  <c r="L101" i="115"/>
  <c r="M100" i="115"/>
  <c r="L100" i="115"/>
  <c r="M99" i="115"/>
  <c r="L99" i="115"/>
  <c r="M98" i="115"/>
  <c r="L98" i="115"/>
  <c r="M97" i="115"/>
  <c r="L97" i="115"/>
  <c r="M96" i="115"/>
  <c r="L96" i="115"/>
  <c r="M95" i="115"/>
  <c r="L95" i="115"/>
  <c r="M94" i="115"/>
  <c r="L94" i="115"/>
  <c r="M93" i="115"/>
  <c r="L93" i="115"/>
  <c r="M92" i="115"/>
  <c r="L92" i="115"/>
  <c r="M91" i="115"/>
  <c r="L91" i="115"/>
  <c r="M90" i="115"/>
  <c r="L90" i="115"/>
  <c r="M89" i="115"/>
  <c r="L89" i="115"/>
  <c r="M88" i="115"/>
  <c r="L88" i="115"/>
  <c r="M87" i="115"/>
  <c r="L87" i="115"/>
  <c r="M86" i="115"/>
  <c r="L86" i="115"/>
  <c r="M85" i="115"/>
  <c r="L85" i="115"/>
  <c r="M84" i="115"/>
  <c r="L84" i="115"/>
  <c r="M83" i="115"/>
  <c r="L83" i="115"/>
  <c r="M82" i="115"/>
  <c r="L82" i="115"/>
  <c r="M81" i="115"/>
  <c r="L81" i="115"/>
  <c r="M80" i="115"/>
  <c r="L80" i="115"/>
  <c r="M79" i="115"/>
  <c r="L79" i="115"/>
  <c r="M78" i="115"/>
  <c r="L78" i="115"/>
  <c r="M77" i="115"/>
  <c r="L77" i="115"/>
  <c r="M76" i="115"/>
  <c r="L76" i="115"/>
  <c r="M75" i="115"/>
  <c r="L75" i="115"/>
  <c r="M74" i="115"/>
  <c r="L74" i="115"/>
  <c r="M73" i="115"/>
  <c r="L73" i="115"/>
  <c r="M72" i="115"/>
  <c r="L72" i="115"/>
  <c r="M71" i="115"/>
  <c r="L71" i="115"/>
  <c r="M70" i="115"/>
  <c r="L70" i="115"/>
  <c r="M69" i="115"/>
  <c r="L69" i="115"/>
  <c r="M68" i="115"/>
  <c r="L68" i="115"/>
  <c r="M67" i="115"/>
  <c r="L67" i="115"/>
  <c r="M66" i="115"/>
  <c r="L66" i="115"/>
  <c r="M65" i="115"/>
  <c r="L65" i="115"/>
  <c r="M64" i="115"/>
  <c r="L64" i="115"/>
  <c r="M63" i="115"/>
  <c r="L63" i="115"/>
  <c r="M62" i="115"/>
  <c r="L62" i="115"/>
  <c r="M61" i="115"/>
  <c r="L61" i="115"/>
  <c r="M60" i="115"/>
  <c r="L60" i="115"/>
  <c r="M59" i="115"/>
  <c r="L59" i="115"/>
  <c r="M58" i="115"/>
  <c r="L58" i="115"/>
  <c r="M57" i="115"/>
  <c r="L57" i="115"/>
  <c r="M56" i="115"/>
  <c r="L56" i="115"/>
  <c r="M55" i="115"/>
  <c r="L55" i="115"/>
  <c r="M54" i="115"/>
  <c r="L54" i="115"/>
  <c r="M53" i="115"/>
  <c r="L53" i="115"/>
  <c r="M52" i="115"/>
  <c r="L52" i="115"/>
  <c r="M51" i="115"/>
  <c r="L51" i="115"/>
  <c r="M50" i="115"/>
  <c r="L50" i="115"/>
  <c r="M49" i="115"/>
  <c r="L49" i="115"/>
  <c r="M48" i="115"/>
  <c r="L48" i="115"/>
  <c r="M47" i="115"/>
  <c r="L47" i="115"/>
  <c r="M46" i="115"/>
  <c r="L46" i="115"/>
  <c r="M45" i="115"/>
  <c r="L45" i="115"/>
  <c r="M44" i="115"/>
  <c r="L44" i="115"/>
  <c r="M43" i="115"/>
  <c r="L43" i="115"/>
  <c r="M42" i="115"/>
  <c r="L42" i="115"/>
  <c r="M41" i="115"/>
  <c r="L41" i="115"/>
  <c r="M40" i="115"/>
  <c r="L40" i="115"/>
  <c r="M39" i="115"/>
  <c r="L39" i="115"/>
  <c r="M38" i="115"/>
  <c r="L38" i="115"/>
  <c r="M37" i="115"/>
  <c r="L37" i="115"/>
  <c r="M36" i="115"/>
  <c r="L36" i="115"/>
  <c r="M35" i="115"/>
  <c r="L35" i="115"/>
  <c r="M34" i="115"/>
  <c r="L34" i="115"/>
  <c r="M33" i="115"/>
  <c r="L33" i="115"/>
  <c r="M32" i="115"/>
  <c r="L32" i="115"/>
  <c r="M31" i="115"/>
  <c r="L31" i="115"/>
  <c r="M30" i="115"/>
  <c r="L30" i="115"/>
  <c r="M29" i="115"/>
  <c r="L29" i="115"/>
  <c r="M28" i="115"/>
  <c r="L28" i="115"/>
  <c r="M27" i="115"/>
  <c r="L27" i="115"/>
  <c r="M26" i="115"/>
  <c r="L26" i="115"/>
  <c r="M25" i="115"/>
  <c r="L25" i="115"/>
  <c r="M24" i="115"/>
  <c r="L24" i="115"/>
  <c r="M23" i="115"/>
  <c r="L23" i="115"/>
  <c r="M22" i="115"/>
  <c r="L22" i="115"/>
  <c r="M21" i="115"/>
  <c r="L21" i="115"/>
  <c r="M20" i="115"/>
  <c r="L20" i="115"/>
  <c r="M19" i="115"/>
  <c r="L19" i="115"/>
  <c r="M18" i="115"/>
  <c r="L18" i="115"/>
  <c r="M17" i="115"/>
  <c r="L17" i="115"/>
  <c r="M16" i="115"/>
  <c r="L16" i="115"/>
  <c r="M15" i="115"/>
  <c r="L15" i="115"/>
  <c r="M14" i="115"/>
  <c r="L14" i="115"/>
  <c r="M13" i="115"/>
  <c r="L13" i="115"/>
  <c r="M12" i="115"/>
  <c r="L12" i="115"/>
  <c r="E31" i="92"/>
  <c r="E64" i="146"/>
  <c r="B64" i="146"/>
  <c r="M11" i="115"/>
  <c r="L11" i="115"/>
  <c r="M10" i="115"/>
  <c r="L10" i="115"/>
  <c r="M9" i="115"/>
  <c r="L9" i="115"/>
  <c r="M8" i="115"/>
  <c r="L8" i="115"/>
  <c r="B31" i="92"/>
  <c r="E32" i="146"/>
  <c r="B32" i="146"/>
  <c r="D31" i="92"/>
  <c r="G32" i="146"/>
  <c r="D32" i="146"/>
  <c r="L7" i="115"/>
  <c r="M7" i="115"/>
  <c r="D30" i="92"/>
  <c r="G31" i="146"/>
  <c r="D31" i="146"/>
  <c r="B30" i="92"/>
  <c r="E31" i="146"/>
  <c r="B31" i="146"/>
  <c r="D29" i="92"/>
  <c r="B29" i="92"/>
  <c r="E30" i="146"/>
  <c r="B30" i="146"/>
  <c r="D28" i="92"/>
  <c r="G29" i="146"/>
  <c r="D29" i="146"/>
  <c r="B28" i="92"/>
  <c r="E29" i="146"/>
  <c r="B29" i="146"/>
  <c r="D27" i="92"/>
  <c r="G28" i="146"/>
  <c r="D28" i="146"/>
  <c r="B27" i="92"/>
  <c r="E28" i="146"/>
  <c r="B28" i="146"/>
  <c r="D26" i="92"/>
  <c r="B26" i="92"/>
  <c r="E27" i="146"/>
  <c r="B27" i="146"/>
  <c r="D25" i="92"/>
  <c r="G26" i="146"/>
  <c r="D26" i="146"/>
  <c r="B25" i="92"/>
  <c r="E26" i="146"/>
  <c r="B26" i="146"/>
  <c r="D24" i="92"/>
  <c r="G25" i="146"/>
  <c r="D25" i="146"/>
  <c r="B24" i="92"/>
  <c r="E25" i="146"/>
  <c r="B25" i="146"/>
  <c r="D23" i="92"/>
  <c r="G24" i="146"/>
  <c r="D24" i="146"/>
  <c r="B23" i="92"/>
  <c r="E24" i="146"/>
  <c r="B24" i="146"/>
  <c r="D22" i="92"/>
  <c r="G23" i="146"/>
  <c r="D23" i="146"/>
  <c r="B22" i="92"/>
  <c r="E23" i="146"/>
  <c r="B23" i="146"/>
  <c r="D21" i="92"/>
  <c r="G22" i="146"/>
  <c r="D22" i="146"/>
  <c r="B21" i="92"/>
  <c r="E22" i="146"/>
  <c r="B22" i="146"/>
  <c r="D20" i="92"/>
  <c r="B20" i="92"/>
  <c r="E21" i="146"/>
  <c r="B21" i="146"/>
  <c r="D19" i="92"/>
  <c r="G20" i="146"/>
  <c r="D20" i="146"/>
  <c r="B19" i="92"/>
  <c r="E20" i="146"/>
  <c r="B20" i="146"/>
  <c r="D18" i="92"/>
  <c r="B18" i="92"/>
  <c r="E19" i="146"/>
  <c r="B19" i="146"/>
  <c r="D17" i="92"/>
  <c r="G18" i="146"/>
  <c r="D18" i="146"/>
  <c r="B17" i="92"/>
  <c r="D16" i="92"/>
  <c r="G17" i="146"/>
  <c r="D17" i="146"/>
  <c r="B16" i="92"/>
  <c r="E17" i="146"/>
  <c r="B17" i="146"/>
  <c r="D15" i="92"/>
  <c r="G16" i="146"/>
  <c r="D16" i="146"/>
  <c r="B15" i="92"/>
  <c r="E16" i="146"/>
  <c r="B16" i="146"/>
  <c r="D14" i="92"/>
  <c r="G15" i="146"/>
  <c r="D15" i="146"/>
  <c r="B14" i="92"/>
  <c r="E15" i="146"/>
  <c r="B15" i="146"/>
  <c r="D13" i="92"/>
  <c r="G14" i="146"/>
  <c r="D14" i="146"/>
  <c r="B13" i="92"/>
  <c r="E14" i="146"/>
  <c r="B14" i="146"/>
  <c r="D12" i="92"/>
  <c r="G13" i="146"/>
  <c r="D13" i="146"/>
  <c r="B12" i="92"/>
  <c r="E13" i="146"/>
  <c r="B13" i="146"/>
  <c r="D11" i="92"/>
  <c r="G12" i="146"/>
  <c r="D12" i="146"/>
  <c r="B11" i="92"/>
  <c r="E12" i="146"/>
  <c r="B12" i="146"/>
  <c r="D10" i="92"/>
  <c r="G11" i="146"/>
  <c r="D11" i="146"/>
  <c r="B10" i="92"/>
  <c r="E11" i="146"/>
  <c r="B11" i="146"/>
  <c r="D9" i="92"/>
  <c r="B9" i="92"/>
  <c r="E10" i="146"/>
  <c r="B10" i="146"/>
  <c r="D8" i="92"/>
  <c r="B8" i="92"/>
  <c r="E9" i="146"/>
  <c r="B9" i="146"/>
  <c r="D7" i="92"/>
  <c r="G8" i="146"/>
  <c r="B7" i="92"/>
  <c r="E8" i="146"/>
  <c r="B8" i="146"/>
  <c r="A8" i="115"/>
  <c r="A9" i="115"/>
  <c r="A10" i="115"/>
  <c r="A11" i="115"/>
  <c r="A12" i="115"/>
  <c r="A13" i="115"/>
  <c r="A14" i="115"/>
  <c r="A15" i="115"/>
  <c r="A16" i="115"/>
  <c r="A17" i="115"/>
  <c r="A18" i="115"/>
  <c r="A19" i="115"/>
  <c r="A20" i="115"/>
  <c r="A21" i="115"/>
  <c r="A22" i="115"/>
  <c r="A23" i="115"/>
  <c r="A24" i="115"/>
  <c r="A25" i="115"/>
  <c r="A26" i="115"/>
  <c r="A27" i="115"/>
  <c r="A28" i="115"/>
  <c r="A29" i="115"/>
  <c r="A30" i="115"/>
  <c r="A31" i="115"/>
  <c r="A32" i="115"/>
  <c r="A33" i="115"/>
  <c r="A34" i="115"/>
  <c r="A35" i="115"/>
  <c r="A36" i="115"/>
  <c r="A37" i="115"/>
  <c r="A38" i="115"/>
  <c r="A39" i="115"/>
  <c r="A40" i="115"/>
  <c r="A41" i="115"/>
  <c r="A42" i="115"/>
  <c r="A43" i="115"/>
  <c r="A44" i="115"/>
  <c r="A45" i="115"/>
  <c r="A46" i="115"/>
  <c r="A47" i="115"/>
  <c r="A48" i="115"/>
  <c r="A49" i="115"/>
  <c r="A50" i="115"/>
  <c r="A51" i="115"/>
  <c r="A52" i="115"/>
  <c r="A53" i="115"/>
  <c r="A54" i="115"/>
  <c r="A55" i="115"/>
  <c r="A56" i="115"/>
  <c r="A57" i="115"/>
  <c r="A58" i="115"/>
  <c r="A59" i="115"/>
  <c r="A60" i="115"/>
  <c r="A61" i="115"/>
  <c r="A62" i="115"/>
  <c r="A63" i="115"/>
  <c r="A64" i="115"/>
  <c r="A65" i="115"/>
  <c r="A66" i="115"/>
  <c r="A67" i="115"/>
  <c r="A68" i="115"/>
  <c r="A69" i="115"/>
  <c r="A70" i="115"/>
  <c r="A71" i="115"/>
  <c r="A72" i="115"/>
  <c r="A73" i="115"/>
  <c r="A74" i="115"/>
  <c r="A75" i="115"/>
  <c r="A76" i="115"/>
  <c r="A77" i="115"/>
  <c r="A78" i="115"/>
  <c r="A79" i="115"/>
  <c r="A80" i="115"/>
  <c r="A81" i="115"/>
  <c r="A82" i="115"/>
  <c r="A83" i="115"/>
  <c r="A84" i="115"/>
  <c r="A85" i="115"/>
  <c r="A86" i="115"/>
  <c r="A87" i="115"/>
  <c r="A88" i="115"/>
  <c r="A89" i="115"/>
  <c r="A90" i="115"/>
  <c r="A91" i="115"/>
  <c r="A92" i="115"/>
  <c r="A93" i="115"/>
  <c r="A94" i="115"/>
  <c r="A95" i="115"/>
  <c r="A96" i="115"/>
  <c r="A97" i="115"/>
  <c r="A98" i="115"/>
  <c r="A99" i="115"/>
  <c r="A100" i="115"/>
  <c r="A101" i="115"/>
  <c r="E6" i="115"/>
  <c r="D6" i="115"/>
  <c r="N2" i="92"/>
  <c r="J23" i="92"/>
  <c r="G88" i="146"/>
  <c r="D88" i="146"/>
  <c r="G27" i="146"/>
  <c r="D27" i="146"/>
  <c r="G21" i="146"/>
  <c r="D21" i="146"/>
  <c r="G14" i="92"/>
  <c r="G47" i="146"/>
  <c r="D47" i="146"/>
  <c r="E13" i="92"/>
  <c r="E12" i="92"/>
  <c r="E45" i="146"/>
  <c r="B45" i="146"/>
  <c r="G24" i="92"/>
  <c r="G57" i="146"/>
  <c r="D57" i="146"/>
  <c r="J20" i="92"/>
  <c r="G85" i="146"/>
  <c r="D85" i="146"/>
  <c r="G18" i="92"/>
  <c r="G51" i="146"/>
  <c r="D51" i="146"/>
  <c r="G30" i="92"/>
  <c r="G63" i="146"/>
  <c r="D63" i="146"/>
  <c r="J13" i="92"/>
  <c r="G78" i="146"/>
  <c r="D78" i="146"/>
  <c r="E24" i="92"/>
  <c r="E57" i="146"/>
  <c r="B57" i="146"/>
  <c r="E25" i="92"/>
  <c r="E58" i="146"/>
  <c r="B58" i="146"/>
  <c r="J25" i="92"/>
  <c r="G90" i="146"/>
  <c r="D90" i="146"/>
  <c r="E9" i="92"/>
  <c r="E42" i="146"/>
  <c r="B42" i="146"/>
  <c r="H7" i="92"/>
  <c r="J9" i="92"/>
  <c r="G74" i="146"/>
  <c r="D74" i="146"/>
  <c r="H9" i="92"/>
  <c r="E74" i="146"/>
  <c r="B74" i="146"/>
  <c r="J17" i="92"/>
  <c r="G82" i="146"/>
  <c r="D82" i="146"/>
  <c r="J21" i="92"/>
  <c r="G86" i="146"/>
  <c r="D86" i="146"/>
  <c r="J27" i="92"/>
  <c r="G92" i="146"/>
  <c r="D92" i="146"/>
  <c r="H27" i="92"/>
  <c r="E92" i="146"/>
  <c r="B92" i="146"/>
  <c r="J30" i="92"/>
  <c r="G95" i="146"/>
  <c r="D95" i="146"/>
  <c r="E19" i="92"/>
  <c r="E52" i="146"/>
  <c r="B52" i="146"/>
  <c r="J26" i="92"/>
  <c r="G91" i="146"/>
  <c r="D91" i="146"/>
  <c r="G22" i="92"/>
  <c r="G55" i="146"/>
  <c r="D55" i="146"/>
  <c r="G28" i="92"/>
  <c r="G61" i="146"/>
  <c r="D61" i="146"/>
  <c r="E16" i="92"/>
  <c r="E49" i="146"/>
  <c r="B49" i="146"/>
  <c r="H31" i="92"/>
  <c r="E14" i="92"/>
  <c r="E7" i="92"/>
  <c r="H18" i="92"/>
  <c r="E83" i="146"/>
  <c r="B83" i="146"/>
  <c r="J7" i="92"/>
  <c r="G72" i="146"/>
  <c r="D72" i="146"/>
  <c r="H13" i="92"/>
  <c r="E78" i="146"/>
  <c r="B78" i="146"/>
  <c r="J19" i="92"/>
  <c r="G84" i="146"/>
  <c r="D84" i="146"/>
  <c r="H17" i="92"/>
  <c r="E82" i="146"/>
  <c r="B82" i="146"/>
  <c r="H12" i="92"/>
  <c r="E77" i="146"/>
  <c r="B77" i="146"/>
  <c r="E28" i="92"/>
  <c r="E61" i="146"/>
  <c r="B61" i="146"/>
  <c r="E18" i="92"/>
  <c r="G27" i="92"/>
  <c r="G60" i="146"/>
  <c r="D60" i="146"/>
  <c r="J11" i="92"/>
  <c r="E27" i="92"/>
  <c r="E60" i="146"/>
  <c r="B60" i="146"/>
  <c r="J24" i="92"/>
  <c r="G89" i="146"/>
  <c r="D89" i="146"/>
  <c r="G25" i="92"/>
  <c r="G58" i="146"/>
  <c r="D58" i="146"/>
  <c r="G15" i="92"/>
  <c r="G48" i="146"/>
  <c r="D48" i="146"/>
  <c r="J29" i="92"/>
  <c r="G94" i="146"/>
  <c r="D94" i="146"/>
  <c r="E21" i="92"/>
  <c r="E54" i="146"/>
  <c r="B54" i="146"/>
  <c r="J18" i="92"/>
  <c r="G83" i="146"/>
  <c r="D83" i="146"/>
  <c r="H15" i="92"/>
  <c r="E80" i="146"/>
  <c r="B80" i="146"/>
  <c r="E8" i="92"/>
  <c r="E41" i="146"/>
  <c r="B41" i="146"/>
  <c r="H28" i="92"/>
  <c r="E93" i="146"/>
  <c r="B93" i="146"/>
  <c r="E17" i="92"/>
  <c r="E50" i="146"/>
  <c r="B50" i="146"/>
  <c r="J28" i="92"/>
  <c r="G93" i="146"/>
  <c r="D93" i="146"/>
  <c r="B6" i="92"/>
  <c r="H10" i="92"/>
  <c r="E75" i="146"/>
  <c r="B75" i="146"/>
  <c r="G7" i="92"/>
  <c r="G40" i="146"/>
  <c r="D40" i="146"/>
  <c r="E26" i="92"/>
  <c r="E59" i="146"/>
  <c r="B59" i="146"/>
  <c r="H16" i="92"/>
  <c r="E81" i="146"/>
  <c r="B81" i="146"/>
  <c r="E23" i="92"/>
  <c r="E56" i="146"/>
  <c r="B56" i="146"/>
  <c r="H20" i="92"/>
  <c r="E85" i="146"/>
  <c r="B85" i="146"/>
  <c r="G16" i="92"/>
  <c r="G49" i="146"/>
  <c r="D49" i="146"/>
  <c r="H29" i="92"/>
  <c r="E94" i="146"/>
  <c r="B94" i="146"/>
  <c r="J10" i="92"/>
  <c r="G75" i="146"/>
  <c r="D75" i="146"/>
  <c r="G29" i="92"/>
  <c r="G62" i="146"/>
  <c r="D62" i="146"/>
  <c r="H25" i="92"/>
  <c r="E90" i="146"/>
  <c r="B90" i="146"/>
  <c r="G19" i="92"/>
  <c r="G52" i="146"/>
  <c r="D52" i="146"/>
  <c r="H23" i="92"/>
  <c r="E88" i="146"/>
  <c r="B88" i="146"/>
  <c r="G13" i="92"/>
  <c r="G46" i="146"/>
  <c r="D46" i="146"/>
  <c r="J8" i="92"/>
  <c r="G73" i="146"/>
  <c r="D73" i="146"/>
  <c r="H22" i="92"/>
  <c r="E87" i="146"/>
  <c r="B87" i="146"/>
  <c r="J22" i="92"/>
  <c r="G87" i="146"/>
  <c r="D87" i="146"/>
  <c r="H8" i="92"/>
  <c r="E73" i="146"/>
  <c r="B73" i="146"/>
  <c r="J15" i="92"/>
  <c r="G80" i="146"/>
  <c r="D80" i="146"/>
  <c r="J31" i="92"/>
  <c r="G96" i="146"/>
  <c r="D96" i="146"/>
  <c r="H21" i="92"/>
  <c r="E86" i="146"/>
  <c r="B86" i="146"/>
  <c r="G17" i="92"/>
  <c r="M17" i="92"/>
  <c r="G115" i="146"/>
  <c r="D115" i="146"/>
  <c r="H24" i="92"/>
  <c r="E89" i="146"/>
  <c r="B89" i="146"/>
  <c r="G9" i="92"/>
  <c r="G42" i="146"/>
  <c r="D42" i="146"/>
  <c r="E10" i="92"/>
  <c r="E43" i="146"/>
  <c r="B43" i="146"/>
  <c r="E30" i="92"/>
  <c r="E63" i="146"/>
  <c r="B63" i="146"/>
  <c r="G26" i="92"/>
  <c r="G21" i="92"/>
  <c r="G54" i="146"/>
  <c r="D54" i="146"/>
  <c r="H30" i="92"/>
  <c r="E95" i="146"/>
  <c r="B95" i="146"/>
  <c r="G8" i="92"/>
  <c r="G41" i="146"/>
  <c r="D41" i="146"/>
  <c r="G11" i="92"/>
  <c r="G44" i="146"/>
  <c r="D44" i="146"/>
  <c r="G12" i="92"/>
  <c r="G45" i="146"/>
  <c r="D45" i="146"/>
  <c r="J12" i="92"/>
  <c r="G77" i="146"/>
  <c r="D77" i="146"/>
  <c r="H26" i="92"/>
  <c r="E91" i="146"/>
  <c r="B91" i="146"/>
  <c r="G23" i="92"/>
  <c r="G56" i="146"/>
  <c r="D56" i="146"/>
  <c r="E15" i="92"/>
  <c r="E48" i="146"/>
  <c r="B48" i="146"/>
  <c r="J14" i="92"/>
  <c r="G79" i="146"/>
  <c r="D79" i="146"/>
  <c r="G31" i="92"/>
  <c r="E20" i="92"/>
  <c r="E53" i="146"/>
  <c r="B53" i="146"/>
  <c r="H11" i="92"/>
  <c r="E76" i="146"/>
  <c r="B76" i="146"/>
  <c r="H14" i="92"/>
  <c r="E79" i="146"/>
  <c r="B79" i="146"/>
  <c r="E22" i="92"/>
  <c r="E55" i="146"/>
  <c r="B55" i="146"/>
  <c r="E11" i="92"/>
  <c r="E44" i="146"/>
  <c r="B44" i="146"/>
  <c r="J16" i="92"/>
  <c r="G81" i="146"/>
  <c r="D81" i="146"/>
  <c r="E29" i="92"/>
  <c r="E62" i="146"/>
  <c r="B62" i="146"/>
  <c r="G20" i="92"/>
  <c r="G53" i="146"/>
  <c r="D53" i="146"/>
  <c r="G10" i="92"/>
  <c r="G43" i="146"/>
  <c r="D43" i="146"/>
  <c r="H19" i="92"/>
  <c r="E84" i="146"/>
  <c r="B84" i="146"/>
  <c r="M24" i="92"/>
  <c r="G122" i="146"/>
  <c r="D122" i="146"/>
  <c r="E46" i="146"/>
  <c r="B46" i="146"/>
  <c r="E18" i="146"/>
  <c r="B18" i="146"/>
  <c r="B7" i="146"/>
  <c r="D6" i="92"/>
  <c r="D8" i="146"/>
  <c r="E47" i="146"/>
  <c r="B47" i="146"/>
  <c r="K31" i="92"/>
  <c r="E129" i="146"/>
  <c r="B129" i="146"/>
  <c r="E96" i="146"/>
  <c r="B96" i="146"/>
  <c r="M27" i="92"/>
  <c r="G125" i="146"/>
  <c r="D125" i="146"/>
  <c r="G76" i="146"/>
  <c r="D76" i="146"/>
  <c r="G10" i="146"/>
  <c r="D10" i="146"/>
  <c r="E51" i="146"/>
  <c r="B51" i="146"/>
  <c r="E40" i="146"/>
  <c r="G9" i="146"/>
  <c r="D9" i="146"/>
  <c r="G19" i="146"/>
  <c r="D19" i="146"/>
  <c r="G30" i="146"/>
  <c r="D30" i="146"/>
  <c r="M30" i="92"/>
  <c r="G128" i="146"/>
  <c r="D128" i="146"/>
  <c r="K18" i="92"/>
  <c r="E116" i="146"/>
  <c r="B116" i="146"/>
  <c r="M31" i="92"/>
  <c r="G129" i="146"/>
  <c r="D129" i="146"/>
  <c r="K13" i="92"/>
  <c r="E111" i="146"/>
  <c r="B111" i="146"/>
  <c r="K27" i="92"/>
  <c r="E125" i="146"/>
  <c r="B125" i="146"/>
  <c r="K7" i="92"/>
  <c r="G50" i="146"/>
  <c r="D50" i="146"/>
  <c r="E72" i="146"/>
  <c r="B72" i="146"/>
  <c r="B71" i="146"/>
  <c r="M19" i="92"/>
  <c r="G117" i="146"/>
  <c r="D117" i="146"/>
  <c r="M7" i="92"/>
  <c r="G105" i="146"/>
  <c r="D105" i="146"/>
  <c r="M11" i="92"/>
  <c r="G109" i="146"/>
  <c r="D109" i="146"/>
  <c r="K17" i="92"/>
  <c r="E115" i="146"/>
  <c r="B115" i="146"/>
  <c r="M29" i="92"/>
  <c r="G127" i="146"/>
  <c r="D127" i="146"/>
  <c r="M28" i="92"/>
  <c r="G126" i="146"/>
  <c r="D126" i="146"/>
  <c r="K25" i="92"/>
  <c r="E123" i="146"/>
  <c r="B123" i="146"/>
  <c r="M26" i="92"/>
  <c r="G124" i="146"/>
  <c r="D124" i="146"/>
  <c r="K23" i="92"/>
  <c r="E121" i="146"/>
  <c r="B121" i="146"/>
  <c r="K14" i="92"/>
  <c r="E112" i="146"/>
  <c r="B112" i="146"/>
  <c r="M25" i="92"/>
  <c r="G123" i="146"/>
  <c r="D123" i="146"/>
  <c r="G64" i="146"/>
  <c r="D64" i="146"/>
  <c r="K20" i="92"/>
  <c r="E118" i="146"/>
  <c r="B118" i="146"/>
  <c r="M18" i="92"/>
  <c r="G116" i="146"/>
  <c r="D116" i="146"/>
  <c r="K28" i="92"/>
  <c r="E126" i="146"/>
  <c r="B126" i="146"/>
  <c r="E7" i="146"/>
  <c r="M8" i="92"/>
  <c r="G106" i="146"/>
  <c r="D106" i="146"/>
  <c r="K16" i="92"/>
  <c r="E114" i="146"/>
  <c r="B114" i="146"/>
  <c r="K21" i="92"/>
  <c r="E119" i="146"/>
  <c r="B119" i="146"/>
  <c r="K12" i="92"/>
  <c r="E110" i="146"/>
  <c r="B110" i="146"/>
  <c r="K9" i="92"/>
  <c r="E107" i="146"/>
  <c r="B107" i="146"/>
  <c r="M22" i="92"/>
  <c r="G120" i="146"/>
  <c r="D120" i="146"/>
  <c r="G59" i="146"/>
  <c r="D59" i="146"/>
  <c r="M23" i="92"/>
  <c r="G121" i="146"/>
  <c r="D121" i="146"/>
  <c r="M13" i="92"/>
  <c r="G111" i="146"/>
  <c r="D111" i="146"/>
  <c r="K26" i="92"/>
  <c r="E124" i="146"/>
  <c r="B124" i="146"/>
  <c r="K15" i="92"/>
  <c r="E113" i="146"/>
  <c r="B113" i="146"/>
  <c r="M9" i="92"/>
  <c r="G107" i="146"/>
  <c r="D107" i="146"/>
  <c r="K24" i="92"/>
  <c r="E122" i="146"/>
  <c r="B122" i="146"/>
  <c r="K8" i="92"/>
  <c r="E106" i="146"/>
  <c r="B106" i="146"/>
  <c r="K29" i="92"/>
  <c r="E127" i="146"/>
  <c r="B127" i="146"/>
  <c r="K30" i="92"/>
  <c r="E128" i="146"/>
  <c r="B128" i="146"/>
  <c r="K11" i="92"/>
  <c r="E109" i="146"/>
  <c r="B109" i="146"/>
  <c r="M14" i="92"/>
  <c r="G112" i="146"/>
  <c r="D112" i="146"/>
  <c r="M21" i="92"/>
  <c r="G119" i="146"/>
  <c r="D119" i="146"/>
  <c r="E6" i="92"/>
  <c r="M16" i="92"/>
  <c r="G114" i="146"/>
  <c r="D114" i="146"/>
  <c r="J6" i="92"/>
  <c r="M12" i="92"/>
  <c r="G110" i="146"/>
  <c r="D110" i="146"/>
  <c r="M15" i="92"/>
  <c r="G113" i="146"/>
  <c r="D113" i="146"/>
  <c r="K10" i="92"/>
  <c r="E108" i="146"/>
  <c r="B108" i="146"/>
  <c r="K22" i="92"/>
  <c r="E120" i="146"/>
  <c r="B120" i="146"/>
  <c r="H6" i="92"/>
  <c r="M10" i="92"/>
  <c r="G108" i="146"/>
  <c r="D108" i="146"/>
  <c r="G6" i="92"/>
  <c r="M20" i="92"/>
  <c r="G118" i="146"/>
  <c r="D118" i="146"/>
  <c r="K19" i="92"/>
  <c r="E117" i="146"/>
  <c r="B117" i="146"/>
  <c r="E105" i="146"/>
  <c r="D7" i="146"/>
  <c r="G7" i="146"/>
  <c r="B40" i="146"/>
  <c r="B39" i="146"/>
  <c r="E39" i="146"/>
  <c r="D71" i="146"/>
  <c r="G71" i="146"/>
  <c r="D39" i="146"/>
  <c r="E71" i="146"/>
  <c r="G39" i="146"/>
  <c r="K6" i="92"/>
  <c r="D104" i="146"/>
  <c r="G104" i="146"/>
  <c r="M6" i="92"/>
  <c r="B105" i="146"/>
  <c r="B104" i="146"/>
  <c r="E104" i="146"/>
</calcChain>
</file>

<file path=xl/sharedStrings.xml><?xml version="1.0" encoding="utf-8"?>
<sst xmlns="http://schemas.openxmlformats.org/spreadsheetml/2006/main" count="1038" uniqueCount="204">
  <si>
    <t>용  지  조  서</t>
    <phoneticPr fontId="5" type="noConversion"/>
  </si>
  <si>
    <t>계</t>
  </si>
  <si>
    <t>필지</t>
  </si>
  <si>
    <t>/</t>
  </si>
  <si>
    <t>면적(㎡)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</si>
  <si>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</si>
  <si>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</si>
  <si>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</si>
  <si>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</si>
  <si>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</si>
  <si>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</si>
  <si>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</si>
  <si>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</si>
  <si>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</si>
  <si>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</si>
  <si>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</si>
  <si>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</si>
  <si>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</si>
  <si>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공장</t>
  </si>
  <si>
    <t>비고</t>
  </si>
  <si>
    <t>학교용지</t>
  </si>
  <si>
    <t>일련</t>
  </si>
  <si>
    <t>지목</t>
  </si>
  <si>
    <t>지 적</t>
  </si>
  <si>
    <t>편입면적</t>
  </si>
  <si>
    <t>소  유  자</t>
  </si>
  <si>
    <t>관  계  인</t>
  </si>
  <si>
    <t>번호</t>
  </si>
  <si>
    <t>성  명</t>
  </si>
  <si>
    <t>주  소</t>
  </si>
  <si>
    <t>권리관계</t>
  </si>
  <si>
    <t>철도</t>
  </si>
  <si>
    <t>종교</t>
  </si>
  <si>
    <t>공원</t>
  </si>
  <si>
    <t>체육</t>
  </si>
  <si>
    <t>국  유  지</t>
  </si>
  <si>
    <t>사  유  지</t>
  </si>
  <si>
    <t>면 적 (㎡)</t>
  </si>
  <si>
    <t>편 입 용 지 집 계 표</t>
    <phoneticPr fontId="6" type="noConversion"/>
  </si>
  <si>
    <t>구 분</t>
    <phoneticPr fontId="6" type="noConversion"/>
  </si>
  <si>
    <t>주차장</t>
    <phoneticPr fontId="6" type="noConversion"/>
  </si>
  <si>
    <t>주유소</t>
    <phoneticPr fontId="6" type="noConversion"/>
  </si>
  <si>
    <t>수도용지</t>
    <phoneticPr fontId="6" type="noConversion"/>
  </si>
  <si>
    <t>창 고</t>
    <phoneticPr fontId="6" type="noConversion"/>
  </si>
  <si>
    <t>무 지 번</t>
    <phoneticPr fontId="6" type="noConversion"/>
  </si>
  <si>
    <r>
      <t>( ㎡</t>
    </r>
    <r>
      <rPr>
        <b/>
        <vertAlign val="superscript"/>
        <sz val="9"/>
        <rFont val="굴림"/>
        <family val="3"/>
        <charset val="129"/>
      </rPr>
      <t xml:space="preserve"> </t>
    </r>
    <r>
      <rPr>
        <b/>
        <sz val="9"/>
        <rFont val="굴림"/>
        <family val="3"/>
        <charset val="129"/>
      </rPr>
      <t>)</t>
    </r>
  </si>
  <si>
    <t>총 계</t>
    <phoneticPr fontId="6" type="noConversion"/>
  </si>
  <si>
    <t>공  유  지</t>
    <phoneticPr fontId="6" type="noConversion"/>
  </si>
  <si>
    <t>공유지 편입용지 집계표</t>
    <phoneticPr fontId="6" type="noConversion"/>
  </si>
  <si>
    <t>국유지 편입용지 집계표</t>
    <phoneticPr fontId="6" type="noConversion"/>
  </si>
  <si>
    <t>전체 편입용지 집계표</t>
    <phoneticPr fontId="6" type="noConversion"/>
  </si>
  <si>
    <t>사유지 편입용지 집계표</t>
    <phoneticPr fontId="6" type="noConversion"/>
  </si>
  <si>
    <t>비  고</t>
    <phoneticPr fontId="6" type="noConversion"/>
  </si>
  <si>
    <t>집계맞춤</t>
    <phoneticPr fontId="5" type="noConversion"/>
  </si>
  <si>
    <t>염전</t>
  </si>
  <si>
    <t>지번</t>
    <phoneticPr fontId="6" type="noConversion"/>
  </si>
  <si>
    <t>합계</t>
    <phoneticPr fontId="6" type="noConversion"/>
  </si>
  <si>
    <t>신대리</t>
    <phoneticPr fontId="6" type="noConversion"/>
  </si>
  <si>
    <t>도</t>
  </si>
  <si>
    <t>임</t>
  </si>
  <si>
    <t>국</t>
  </si>
  <si>
    <t>완편입확인</t>
    <phoneticPr fontId="6" type="noConversion"/>
  </si>
  <si>
    <t>국토교통부</t>
  </si>
  <si>
    <t>주계리</t>
    <phoneticPr fontId="6" type="noConversion"/>
  </si>
  <si>
    <t>경상북도</t>
    <phoneticPr fontId="6" type="noConversion"/>
  </si>
  <si>
    <t>안동시 와룡면</t>
    <phoneticPr fontId="6" type="noConversion"/>
  </si>
  <si>
    <t>1100</t>
  </si>
  <si>
    <t>1021</t>
  </si>
  <si>
    <t>1100-1</t>
  </si>
  <si>
    <t>1020-4</t>
  </si>
  <si>
    <t>1020-5</t>
  </si>
  <si>
    <t>1020-2</t>
  </si>
  <si>
    <t>1020-3</t>
  </si>
  <si>
    <t>1020-1</t>
  </si>
  <si>
    <t>988-1</t>
  </si>
  <si>
    <t>산171-1</t>
  </si>
  <si>
    <t>988-2</t>
  </si>
  <si>
    <t>1018-3</t>
  </si>
  <si>
    <t>1018-2</t>
  </si>
  <si>
    <t>1016-1</t>
  </si>
  <si>
    <t>1016-2</t>
  </si>
  <si>
    <t>1017-1</t>
  </si>
  <si>
    <t>1012</t>
  </si>
  <si>
    <t>1016</t>
  </si>
  <si>
    <t>1017</t>
  </si>
  <si>
    <t>1018-5</t>
  </si>
  <si>
    <t>1012-1</t>
  </si>
  <si>
    <t>1018-4</t>
  </si>
  <si>
    <t>1018-1</t>
  </si>
  <si>
    <t>1013-1</t>
  </si>
  <si>
    <t>1014-12</t>
  </si>
  <si>
    <t>1014-2</t>
  </si>
  <si>
    <t>1014-6</t>
  </si>
  <si>
    <t>1015</t>
  </si>
  <si>
    <t>1014-7</t>
  </si>
  <si>
    <t>1015-1</t>
  </si>
  <si>
    <t>묘</t>
  </si>
  <si>
    <t>1014-13</t>
  </si>
  <si>
    <t>1014-1</t>
  </si>
  <si>
    <t>1014-11</t>
  </si>
  <si>
    <t>1014-3</t>
  </si>
  <si>
    <t>1014-9</t>
  </si>
  <si>
    <t>1009-1</t>
  </si>
  <si>
    <t>1015-3</t>
  </si>
  <si>
    <t>1014-14</t>
  </si>
  <si>
    <t>1014-10</t>
  </si>
  <si>
    <t>1009-5</t>
  </si>
  <si>
    <t>1008-2</t>
  </si>
  <si>
    <t>1002-4</t>
  </si>
  <si>
    <t>1008-4</t>
  </si>
  <si>
    <t>1008-1</t>
  </si>
  <si>
    <t>1007-1</t>
  </si>
  <si>
    <t>1003-9</t>
  </si>
  <si>
    <t>1006-5</t>
  </si>
  <si>
    <t>1097-4</t>
  </si>
  <si>
    <t>1005-2</t>
  </si>
  <si>
    <t>1005-7</t>
  </si>
  <si>
    <t>산171-6</t>
  </si>
  <si>
    <t>1019-2</t>
  </si>
  <si>
    <t>1019-3</t>
  </si>
  <si>
    <t>988</t>
  </si>
  <si>
    <t>989-3</t>
  </si>
  <si>
    <t>989-1</t>
  </si>
  <si>
    <t>산169-4</t>
  </si>
  <si>
    <t>산169-5</t>
  </si>
  <si>
    <t>1013</t>
  </si>
  <si>
    <t>1011</t>
  </si>
  <si>
    <t>1010</t>
  </si>
  <si>
    <t>1010-1</t>
  </si>
  <si>
    <t>1014-8</t>
  </si>
  <si>
    <t>1014-5</t>
  </si>
  <si>
    <t>1009-6</t>
  </si>
  <si>
    <t>1009-3</t>
  </si>
  <si>
    <t>1009-4</t>
  </si>
  <si>
    <t>1009-2</t>
  </si>
  <si>
    <t>1009</t>
  </si>
  <si>
    <t>991-1</t>
  </si>
  <si>
    <t>1008-3</t>
  </si>
  <si>
    <t>1007-3</t>
  </si>
  <si>
    <t>1007-7</t>
  </si>
  <si>
    <t>1007-2</t>
  </si>
  <si>
    <t>1007-4</t>
  </si>
  <si>
    <t>1007-8</t>
  </si>
  <si>
    <t>1002-1</t>
  </si>
  <si>
    <t>795-13</t>
  </si>
  <si>
    <t>795-12</t>
  </si>
  <si>
    <t>전북특별자치도</t>
    <phoneticPr fontId="6" type="noConversion"/>
  </si>
  <si>
    <t>부안군 하서면</t>
    <phoneticPr fontId="6" type="noConversion"/>
  </si>
  <si>
    <t>기획재정부</t>
  </si>
  <si>
    <t>김제군 죽산면 번지리</t>
  </si>
  <si>
    <t>임병두</t>
  </si>
  <si>
    <t>하서농업협동조합</t>
  </si>
  <si>
    <t>전라북도 부안군 하서면 하서길 49</t>
  </si>
  <si>
    <t>근저당권</t>
  </si>
  <si>
    <t>국</t>
    <phoneticPr fontId="6" type="noConversion"/>
  </si>
  <si>
    <t>국토교통부</t>
    <phoneticPr fontId="6" type="noConversion"/>
  </si>
  <si>
    <t>공</t>
    <phoneticPr fontId="6" type="noConversion"/>
  </si>
  <si>
    <t>전라북도</t>
    <phoneticPr fontId="6" type="noConversion"/>
  </si>
  <si>
    <t>1006-1</t>
  </si>
  <si>
    <t>산148-16</t>
  </si>
  <si>
    <t>산148-17</t>
  </si>
  <si>
    <t>산172-3</t>
  </si>
  <si>
    <t>산148-5</t>
  </si>
  <si>
    <t>산148-15</t>
  </si>
  <si>
    <t>산148-7</t>
  </si>
  <si>
    <t>산148-4</t>
  </si>
  <si>
    <t>산148-14</t>
  </si>
  <si>
    <t>공유수면</t>
    <phoneticPr fontId="6" type="noConversion"/>
  </si>
  <si>
    <t>공</t>
  </si>
  <si>
    <t>전라북도</t>
  </si>
  <si>
    <t>산내면 중계리</t>
  </si>
  <si>
    <t>행안 현역리</t>
  </si>
  <si>
    <t>해</t>
    <phoneticPr fontId="6" type="noConversion"/>
  </si>
  <si>
    <t>1006-6</t>
  </si>
  <si>
    <t>1006-2</t>
    <phoneticPr fontId="6" type="noConversion"/>
  </si>
  <si>
    <t>도</t>
    <phoneticPr fontId="6" type="noConversion"/>
  </si>
  <si>
    <t>1097-3</t>
    <phoneticPr fontId="6" type="noConversion"/>
  </si>
  <si>
    <t>795-3</t>
    <phoneticPr fontId="6" type="noConversion"/>
  </si>
  <si>
    <t>대</t>
    <phoneticPr fontId="6" type="noConversion"/>
  </si>
  <si>
    <t>기획재정부</t>
    <phoneticPr fontId="6" type="noConversion"/>
  </si>
  <si>
    <t>1006-3</t>
    <phoneticPr fontId="6" type="noConversion"/>
  </si>
  <si>
    <t>임</t>
    <phoneticPr fontId="6" type="noConversion"/>
  </si>
  <si>
    <t>1005-1</t>
    <phoneticPr fontId="6" type="noConversion"/>
  </si>
  <si>
    <t>사</t>
  </si>
  <si>
    <t/>
  </si>
  <si>
    <t>○ 공사명 : 새만금 지역간 연결도로 건설공사(1공구)</t>
    <phoneticPr fontId="6" type="noConversion"/>
  </si>
  <si>
    <t xml:space="preserve">전북특별자치도 부안군 하서면 백련리 </t>
    <phoneticPr fontId="6" type="noConversion"/>
  </si>
  <si>
    <t>구    분</t>
    <phoneticPr fontId="6" type="noConversion"/>
  </si>
  <si>
    <t>사유지</t>
    <phoneticPr fontId="6" type="noConversion"/>
  </si>
  <si>
    <t>전라북도 부안군 하서면 운암길 *</t>
    <phoneticPr fontId="6" type="noConversion"/>
  </si>
  <si>
    <t>정읍시 상동 146-1 3차현대아파트 ***-***</t>
    <phoneticPr fontId="6" type="noConversion"/>
  </si>
  <si>
    <t>광주시 광산구 월곡동 ***-*</t>
    <phoneticPr fontId="6" type="noConversion"/>
  </si>
  <si>
    <t>부안군 하서면 벽련리 ***</t>
    <phoneticPr fontId="6" type="noConversion"/>
  </si>
  <si>
    <t>인천광역시 남동구 만수동 *-*** 대동아파트 *-***</t>
    <phoneticPr fontId="6" type="noConversion"/>
  </si>
  <si>
    <t>경기도 화성시 10용사로 ***, ****동 ****호
(능동, 송골마을 우남퍼스트빌아파트)</t>
    <phoneticPr fontId="6" type="noConversion"/>
  </si>
  <si>
    <t>전라북도 부안군 하서면 비득길 *</t>
    <phoneticPr fontId="6" type="noConversion"/>
  </si>
  <si>
    <t>김형*</t>
    <phoneticPr fontId="6" type="noConversion"/>
  </si>
  <si>
    <t>김영*</t>
    <phoneticPr fontId="6" type="noConversion"/>
  </si>
  <si>
    <t>윤락*</t>
    <phoneticPr fontId="6" type="noConversion"/>
  </si>
  <si>
    <t>이준*</t>
    <phoneticPr fontId="6" type="noConversion"/>
  </si>
  <si>
    <t>양근*</t>
    <phoneticPr fontId="6" type="noConversion"/>
  </si>
  <si>
    <t>유정*</t>
    <phoneticPr fontId="6" type="noConversion"/>
  </si>
  <si>
    <t>박종*</t>
    <phoneticPr fontId="6" type="noConversion"/>
  </si>
  <si>
    <t>이기*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</si>
</sst>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#,##0_);[Red]\(#,##0\)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6" formatCode="#,##0.0_ "/>
    <numFmt numFmtId="192" formatCode="###\ &quot;필&quot;&quot;지&quot;"/>
    <numFmt numFmtId="207" formatCode="#,##0.0_);[Red]\(#,##0.0\)"/>
    <numFmt numFmtId="208" formatCode="#,##0.0_ ;[Red]\-#,##0.0\ 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6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22"/>
      <name val="굴림"/>
      <family val="3"/>
      <charset val="129"/>
    </font>
    <font>
      <sz val="22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4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vertAlign val="superscript"/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b/>
      <u val="double"/>
      <sz val="24"/>
      <name val="굴림"/>
      <family val="3"/>
      <charset val="129"/>
    </font>
    <font>
      <b/>
      <u val="double"/>
      <sz val="2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3">
    <xf numFmtId="0" fontId="0" fillId="0" borderId="0"/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179" fontId="1" fillId="0" borderId="0">
      <protection locked="0"/>
    </xf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9" fontId="1" fillId="0" borderId="0">
      <protection locked="0"/>
    </xf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0" fontId="3" fillId="0" borderId="0"/>
    <xf numFmtId="179" fontId="1" fillId="0" borderId="0">
      <protection locked="0"/>
    </xf>
    <xf numFmtId="179" fontId="1" fillId="0" borderId="1">
      <protection locked="0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7" borderId="29" applyNumberFormat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3" fillId="29" borderId="30" applyNumberFormat="0" applyFon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4" fillId="0" borderId="0"/>
    <xf numFmtId="0" fontId="29" fillId="0" borderId="0" applyNumberFormat="0" applyFill="0" applyBorder="0" applyAlignment="0" applyProtection="0">
      <alignment vertical="center"/>
    </xf>
    <xf numFmtId="0" fontId="30" fillId="31" borderId="31" applyNumberFormat="0" applyAlignment="0" applyProtection="0">
      <alignment vertical="center"/>
    </xf>
    <xf numFmtId="0" fontId="31" fillId="0" borderId="32" applyNumberFormat="0" applyFill="0" applyAlignment="0" applyProtection="0">
      <alignment vertical="center"/>
    </xf>
    <xf numFmtId="0" fontId="32" fillId="0" borderId="33" applyNumberFormat="0" applyFill="0" applyAlignment="0" applyProtection="0">
      <alignment vertical="center"/>
    </xf>
    <xf numFmtId="0" fontId="33" fillId="32" borderId="29" applyNumberFormat="0" applyAlignment="0" applyProtection="0">
      <alignment vertical="center"/>
    </xf>
    <xf numFmtId="0" fontId="35" fillId="0" borderId="34" applyNumberFormat="0" applyFill="0" applyAlignment="0" applyProtection="0">
      <alignment vertical="center"/>
    </xf>
    <xf numFmtId="0" fontId="36" fillId="0" borderId="35" applyNumberFormat="0" applyFill="0" applyAlignment="0" applyProtection="0">
      <alignment vertical="center"/>
    </xf>
    <xf numFmtId="0" fontId="37" fillId="0" borderId="3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9" fillId="27" borderId="37" applyNumberFormat="0" applyAlignment="0" applyProtection="0">
      <alignment vertical="center"/>
    </xf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156">
    <xf numFmtId="0" fontId="0" fillId="0" borderId="0" xfId="0"/>
    <xf numFmtId="0" fontId="13" fillId="0" borderId="0" xfId="60" applyFont="1" applyFill="1"/>
    <xf numFmtId="0" fontId="13" fillId="0" borderId="0" xfId="60" applyFont="1" applyFill="1" applyBorder="1" applyAlignment="1" applyProtection="1">
      <alignment horizontal="center" vertical="center"/>
    </xf>
    <xf numFmtId="0" fontId="13" fillId="0" borderId="0" xfId="60" applyFont="1" applyFill="1" applyProtection="1"/>
    <xf numFmtId="49" fontId="13" fillId="0" borderId="0" xfId="60" applyNumberFormat="1" applyFont="1" applyFill="1" applyProtection="1"/>
    <xf numFmtId="49" fontId="13" fillId="0" borderId="0" xfId="60" applyNumberFormat="1" applyFont="1" applyFill="1"/>
    <xf numFmtId="0" fontId="13" fillId="0" borderId="0" xfId="60" applyFont="1" applyFill="1" applyAlignment="1" applyProtection="1">
      <alignment horizontal="center" vertical="center"/>
    </xf>
    <xf numFmtId="0" fontId="13" fillId="0" borderId="2" xfId="0" quotePrefix="1" applyFont="1" applyFill="1" applyBorder="1" applyAlignment="1" applyProtection="1">
      <alignment horizontal="center" vertical="center" wrapText="1"/>
    </xf>
    <xf numFmtId="0" fontId="13" fillId="0" borderId="0" xfId="60" applyFont="1" applyFill="1" applyBorder="1" applyAlignment="1">
      <alignment horizontal="center" vertical="center"/>
    </xf>
    <xf numFmtId="0" fontId="11" fillId="0" borderId="0" xfId="61" applyFont="1" applyFill="1" applyBorder="1"/>
    <xf numFmtId="0" fontId="12" fillId="0" borderId="3" xfId="61" applyFont="1" applyFill="1" applyBorder="1"/>
    <xf numFmtId="0" fontId="12" fillId="0" borderId="0" xfId="61" applyFont="1" applyFill="1" applyBorder="1"/>
    <xf numFmtId="0" fontId="12" fillId="0" borderId="0" xfId="61" applyFont="1" applyFill="1" applyBorder="1" applyAlignment="1">
      <alignment horizontal="center"/>
    </xf>
    <xf numFmtId="0" fontId="12" fillId="0" borderId="0" xfId="61" applyFont="1" applyFill="1" applyBorder="1" applyAlignment="1">
      <alignment horizontal="right"/>
    </xf>
    <xf numFmtId="0" fontId="12" fillId="0" borderId="0" xfId="61" applyFont="1" applyFill="1"/>
    <xf numFmtId="0" fontId="13" fillId="0" borderId="0" xfId="61" applyFont="1" applyFill="1"/>
    <xf numFmtId="0" fontId="17" fillId="0" borderId="4" xfId="61" applyFont="1" applyFill="1" applyBorder="1" applyAlignment="1">
      <alignment horizontal="center" vertical="center" wrapText="1"/>
    </xf>
    <xf numFmtId="179" fontId="17" fillId="0" borderId="3" xfId="61" applyNumberFormat="1" applyFont="1" applyFill="1" applyBorder="1" applyAlignment="1">
      <alignment horizontal="center" vertical="center"/>
    </xf>
    <xf numFmtId="0" fontId="13" fillId="0" borderId="5" xfId="61" applyFont="1" applyFill="1" applyBorder="1" applyAlignment="1">
      <alignment horizontal="distributed" vertical="center"/>
    </xf>
    <xf numFmtId="179" fontId="13" fillId="0" borderId="6" xfId="61" applyNumberFormat="1" applyFont="1" applyFill="1" applyBorder="1" applyAlignment="1">
      <alignment horizontal="center" vertical="center"/>
    </xf>
    <xf numFmtId="0" fontId="13" fillId="0" borderId="7" xfId="61" applyFont="1" applyFill="1" applyBorder="1" applyAlignment="1">
      <alignment horizontal="distributed" vertical="center" wrapText="1"/>
    </xf>
    <xf numFmtId="0" fontId="13" fillId="0" borderId="2" xfId="61" applyFont="1" applyFill="1" applyBorder="1" applyAlignment="1">
      <alignment horizontal="distributed" vertical="center" wrapText="1"/>
    </xf>
    <xf numFmtId="0" fontId="13" fillId="0" borderId="8" xfId="61" applyFont="1" applyFill="1" applyBorder="1" applyAlignment="1">
      <alignment horizontal="distributed" vertical="center" wrapText="1"/>
    </xf>
    <xf numFmtId="0" fontId="13" fillId="0" borderId="2" xfId="61" applyFont="1" applyFill="1" applyBorder="1" applyAlignment="1">
      <alignment horizontal="distributed" vertical="center"/>
    </xf>
    <xf numFmtId="178" fontId="13" fillId="0" borderId="7" xfId="61" applyNumberFormat="1" applyFont="1" applyFill="1" applyBorder="1" applyAlignment="1">
      <alignment horizontal="right" vertical="center"/>
    </xf>
    <xf numFmtId="0" fontId="12" fillId="0" borderId="0" xfId="61" applyFont="1" applyFill="1" applyAlignment="1">
      <alignment horizontal="center"/>
    </xf>
    <xf numFmtId="0" fontId="12" fillId="0" borderId="0" xfId="61" applyFont="1" applyFill="1" applyAlignment="1">
      <alignment horizontal="right"/>
    </xf>
    <xf numFmtId="0" fontId="12" fillId="0" borderId="0" xfId="62" applyFont="1" applyFill="1" applyBorder="1" applyAlignment="1">
      <alignment horizontal="centerContinuous" vertical="center"/>
    </xf>
    <xf numFmtId="0" fontId="12" fillId="0" borderId="0" xfId="62" applyFont="1" applyFill="1" applyAlignment="1">
      <alignment horizontal="centerContinuous" vertical="center"/>
    </xf>
    <xf numFmtId="0" fontId="12" fillId="0" borderId="0" xfId="62" applyFont="1" applyFill="1" applyAlignment="1">
      <alignment vertical="center"/>
    </xf>
    <xf numFmtId="0" fontId="12" fillId="0" borderId="0" xfId="62" applyFont="1" applyFill="1" applyBorder="1" applyAlignment="1">
      <alignment horizontal="distributed"/>
    </xf>
    <xf numFmtId="0" fontId="12" fillId="0" borderId="0" xfId="62" applyFont="1" applyFill="1" applyBorder="1"/>
    <xf numFmtId="0" fontId="15" fillId="0" borderId="0" xfId="0" applyFont="1" applyFill="1" applyAlignment="1">
      <alignment horizontal="centerContinuous" vertical="center"/>
    </xf>
    <xf numFmtId="0" fontId="12" fillId="0" borderId="0" xfId="62" applyFont="1" applyFill="1"/>
    <xf numFmtId="0" fontId="13" fillId="0" borderId="0" xfId="62" applyFont="1" applyFill="1" applyAlignment="1">
      <alignment horizontal="center" vertical="center"/>
    </xf>
    <xf numFmtId="0" fontId="13" fillId="0" borderId="0" xfId="62" applyFont="1" applyFill="1"/>
    <xf numFmtId="178" fontId="13" fillId="0" borderId="9" xfId="62" applyNumberFormat="1" applyFont="1" applyFill="1" applyBorder="1" applyAlignment="1">
      <alignment horizontal="right" vertical="center"/>
    </xf>
    <xf numFmtId="0" fontId="13" fillId="0" borderId="10" xfId="62" applyFont="1" applyFill="1" applyBorder="1" applyAlignment="1">
      <alignment horizontal="center" vertical="center"/>
    </xf>
    <xf numFmtId="178" fontId="13" fillId="0" borderId="11" xfId="62" applyNumberFormat="1" applyFont="1" applyFill="1" applyBorder="1" applyAlignment="1">
      <alignment horizontal="right" vertical="center"/>
    </xf>
    <xf numFmtId="0" fontId="13" fillId="0" borderId="12" xfId="62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179" fontId="12" fillId="0" borderId="0" xfId="62" applyNumberFormat="1" applyFont="1" applyFill="1" applyAlignment="1">
      <alignment horizontal="centerContinuous" vertical="center"/>
    </xf>
    <xf numFmtId="179" fontId="12" fillId="0" borderId="0" xfId="62" applyNumberFormat="1" applyFont="1" applyFill="1" applyBorder="1"/>
    <xf numFmtId="179" fontId="12" fillId="0" borderId="0" xfId="62" applyNumberFormat="1" applyFont="1" applyFill="1" applyBorder="1" applyAlignment="1">
      <alignment horizontal="centerContinuous" vertical="center"/>
    </xf>
    <xf numFmtId="179" fontId="12" fillId="0" borderId="0" xfId="62" applyNumberFormat="1" applyFont="1" applyFill="1"/>
    <xf numFmtId="179" fontId="16" fillId="0" borderId="0" xfId="62" applyNumberFormat="1" applyFont="1" applyFill="1" applyAlignment="1">
      <alignment horizontal="centerContinuous" vertical="center"/>
    </xf>
    <xf numFmtId="0" fontId="13" fillId="0" borderId="0" xfId="60" applyFont="1" applyFill="1" applyAlignment="1">
      <alignment vertical="center"/>
    </xf>
    <xf numFmtId="207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60" applyFont="1" applyFill="1" applyAlignment="1" applyProtection="1">
      <alignment vertical="center"/>
    </xf>
    <xf numFmtId="207" fontId="12" fillId="0" borderId="0" xfId="61" applyNumberFormat="1" applyFont="1" applyFill="1" applyBorder="1"/>
    <xf numFmtId="207" fontId="17" fillId="0" borderId="13" xfId="61" applyNumberFormat="1" applyFont="1" applyFill="1" applyBorder="1" applyAlignment="1">
      <alignment horizontal="center" vertical="center" wrapText="1"/>
    </xf>
    <xf numFmtId="207" fontId="12" fillId="0" borderId="0" xfId="61" applyNumberFormat="1" applyFont="1" applyFill="1"/>
    <xf numFmtId="207" fontId="12" fillId="0" borderId="0" xfId="61" applyNumberFormat="1" applyFont="1" applyFill="1" applyBorder="1" applyAlignment="1">
      <alignment horizontal="right"/>
    </xf>
    <xf numFmtId="207" fontId="12" fillId="0" borderId="0" xfId="61" applyNumberFormat="1" applyFont="1" applyFill="1" applyAlignment="1">
      <alignment horizontal="right"/>
    </xf>
    <xf numFmtId="0" fontId="13" fillId="34" borderId="0" xfId="60" applyFont="1" applyFill="1" applyBorder="1" applyAlignment="1" applyProtection="1">
      <alignment horizontal="center" vertical="center"/>
    </xf>
    <xf numFmtId="0" fontId="13" fillId="34" borderId="0" xfId="60" applyFont="1" applyFill="1" applyAlignment="1">
      <alignment horizontal="center" vertical="center"/>
    </xf>
    <xf numFmtId="186" fontId="17" fillId="0" borderId="0" xfId="60" applyNumberFormat="1" applyFont="1" applyFill="1" applyBorder="1" applyAlignment="1" applyProtection="1">
      <alignment horizontal="center" vertical="center"/>
    </xf>
    <xf numFmtId="178" fontId="13" fillId="0" borderId="0" xfId="60" applyNumberFormat="1" applyFont="1" applyFill="1" applyBorder="1" applyAlignment="1" applyProtection="1">
      <alignment horizontal="center" vertical="center" wrapText="1"/>
      <protection locked="0"/>
    </xf>
    <xf numFmtId="179" fontId="13" fillId="0" borderId="14" xfId="61" applyNumberFormat="1" applyFont="1" applyFill="1" applyBorder="1" applyAlignment="1">
      <alignment horizontal="right" vertical="center"/>
    </xf>
    <xf numFmtId="207" fontId="17" fillId="0" borderId="3" xfId="61" applyNumberFormat="1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7" fillId="34" borderId="5" xfId="61" applyFont="1" applyFill="1" applyBorder="1" applyAlignment="1">
      <alignment horizontal="distributed" vertical="center"/>
    </xf>
    <xf numFmtId="179" fontId="17" fillId="34" borderId="14" xfId="61" applyNumberFormat="1" applyFont="1" applyFill="1" applyBorder="1" applyAlignment="1">
      <alignment horizontal="right" vertical="center"/>
    </xf>
    <xf numFmtId="179" fontId="17" fillId="34" borderId="6" xfId="61" applyNumberFormat="1" applyFont="1" applyFill="1" applyBorder="1" applyAlignment="1">
      <alignment horizontal="center" vertical="center"/>
    </xf>
    <xf numFmtId="178" fontId="17" fillId="34" borderId="7" xfId="61" applyNumberFormat="1" applyFont="1" applyFill="1" applyBorder="1" applyAlignment="1">
      <alignment horizontal="right" vertical="center"/>
    </xf>
    <xf numFmtId="0" fontId="13" fillId="34" borderId="0" xfId="61" applyFont="1" applyFill="1"/>
    <xf numFmtId="178" fontId="17" fillId="34" borderId="2" xfId="61" applyNumberFormat="1" applyFont="1" applyFill="1" applyBorder="1" applyAlignment="1">
      <alignment horizontal="right" vertical="center"/>
    </xf>
    <xf numFmtId="178" fontId="13" fillId="0" borderId="15" xfId="62" applyNumberFormat="1" applyFont="1" applyFill="1" applyBorder="1" applyAlignment="1">
      <alignment horizontal="center" vertical="center"/>
    </xf>
    <xf numFmtId="178" fontId="13" fillId="0" borderId="16" xfId="62" applyNumberFormat="1" applyFont="1" applyFill="1" applyBorder="1" applyAlignment="1">
      <alignment horizontal="center" vertical="center"/>
    </xf>
    <xf numFmtId="207" fontId="17" fillId="34" borderId="6" xfId="61" applyNumberFormat="1" applyFont="1" applyFill="1" applyBorder="1" applyAlignment="1">
      <alignment horizontal="right" vertical="center"/>
    </xf>
    <xf numFmtId="207" fontId="13" fillId="0" borderId="6" xfId="61" applyNumberFormat="1" applyFont="1" applyFill="1" applyBorder="1" applyAlignment="1">
      <alignment horizontal="right" vertical="center"/>
    </xf>
    <xf numFmtId="186" fontId="13" fillId="0" borderId="10" xfId="62" applyNumberFormat="1" applyFont="1" applyFill="1" applyBorder="1" applyAlignment="1">
      <alignment horizontal="right" vertical="center"/>
    </xf>
    <xf numFmtId="186" fontId="13" fillId="0" borderId="12" xfId="62" applyNumberFormat="1" applyFont="1" applyFill="1" applyBorder="1" applyAlignment="1">
      <alignment horizontal="right" vertical="center"/>
    </xf>
    <xf numFmtId="207" fontId="13" fillId="0" borderId="0" xfId="60" applyNumberFormat="1" applyFont="1" applyFill="1" applyAlignment="1" applyProtection="1">
      <alignment horizontal="right"/>
    </xf>
    <xf numFmtId="207" fontId="13" fillId="0" borderId="0" xfId="60" applyNumberFormat="1" applyFont="1" applyFill="1" applyAlignment="1" applyProtection="1">
      <alignment horizontal="right" vertical="center"/>
    </xf>
    <xf numFmtId="207" fontId="7" fillId="0" borderId="2" xfId="0" applyNumberFormat="1" applyFont="1" applyFill="1" applyBorder="1" applyAlignment="1" applyProtection="1">
      <alignment horizontal="right" vertical="center" wrapText="1"/>
      <protection locked="0"/>
    </xf>
    <xf numFmtId="207" fontId="13" fillId="0" borderId="0" xfId="60" applyNumberFormat="1" applyFont="1" applyFill="1" applyAlignment="1">
      <alignment horizontal="right"/>
    </xf>
    <xf numFmtId="207" fontId="13" fillId="0" borderId="0" xfId="60" applyNumberFormat="1" applyFont="1" applyFill="1" applyAlignment="1">
      <alignment horizontal="right" vertical="center"/>
    </xf>
    <xf numFmtId="0" fontId="13" fillId="0" borderId="2" xfId="60" applyFont="1" applyFill="1" applyBorder="1"/>
    <xf numFmtId="49" fontId="13" fillId="0" borderId="2" xfId="60" applyNumberFormat="1" applyFont="1" applyFill="1" applyBorder="1"/>
    <xf numFmtId="207" fontId="13" fillId="0" borderId="2" xfId="60" applyNumberFormat="1" applyFont="1" applyFill="1" applyBorder="1" applyAlignment="1">
      <alignment horizontal="right"/>
    </xf>
    <xf numFmtId="207" fontId="13" fillId="0" borderId="2" xfId="60" applyNumberFormat="1" applyFont="1" applyFill="1" applyBorder="1" applyAlignment="1">
      <alignment horizontal="right" vertical="center"/>
    </xf>
    <xf numFmtId="0" fontId="13" fillId="0" borderId="2" xfId="60" applyFont="1" applyFill="1" applyBorder="1" applyAlignment="1">
      <alignment vertical="center"/>
    </xf>
    <xf numFmtId="208" fontId="13" fillId="0" borderId="0" xfId="60" applyNumberFormat="1" applyFont="1" applyFill="1" applyAlignment="1">
      <alignment horizontal="center" vertical="center"/>
    </xf>
    <xf numFmtId="208" fontId="13" fillId="34" borderId="0" xfId="60" applyNumberFormat="1" applyFont="1" applyFill="1" applyAlignment="1">
      <alignment horizontal="center" vertical="center"/>
    </xf>
    <xf numFmtId="0" fontId="13" fillId="0" borderId="0" xfId="60" applyFont="1" applyFill="1" applyAlignment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NumberFormat="1" applyFont="1" applyFill="1" applyBorder="1" applyAlignment="1" applyProtection="1">
      <alignment horizontal="left" vertical="center"/>
      <protection locked="0"/>
    </xf>
    <xf numFmtId="0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8" fillId="0" borderId="2" xfId="0" applyNumberFormat="1" applyFont="1" applyFill="1" applyBorder="1" applyAlignment="1" applyProtection="1">
      <alignment horizontal="left" vertical="center"/>
      <protection locked="0"/>
    </xf>
    <xf numFmtId="0" fontId="19" fillId="0" borderId="0" xfId="60" applyFont="1" applyFill="1" applyBorder="1" applyAlignment="1" applyProtection="1"/>
    <xf numFmtId="0" fontId="13" fillId="0" borderId="0" xfId="60" applyFont="1" applyFill="1" applyAlignment="1" applyProtection="1">
      <alignment horizontal="right" vertical="center"/>
    </xf>
    <xf numFmtId="0" fontId="20" fillId="0" borderId="0" xfId="60" applyFont="1" applyFill="1" applyAlignment="1" applyProtection="1">
      <alignment vertical="center"/>
    </xf>
    <xf numFmtId="0" fontId="17" fillId="0" borderId="17" xfId="62" applyFont="1" applyFill="1" applyBorder="1" applyAlignment="1">
      <alignment horizontal="distributed" vertical="center" indent="1"/>
    </xf>
    <xf numFmtId="0" fontId="17" fillId="0" borderId="18" xfId="62" applyFont="1" applyFill="1" applyBorder="1" applyAlignment="1">
      <alignment horizontal="distributed" vertical="center" indent="1"/>
    </xf>
    <xf numFmtId="0" fontId="17" fillId="0" borderId="5" xfId="62" applyFont="1" applyFill="1" applyBorder="1" applyAlignment="1">
      <alignment horizontal="distributed" vertical="center" indent="1"/>
    </xf>
    <xf numFmtId="0" fontId="12" fillId="0" borderId="0" xfId="62" applyFont="1" applyFill="1" applyBorder="1" applyAlignment="1">
      <alignment horizontal="distributed" vertical="center" indent="1"/>
    </xf>
    <xf numFmtId="0" fontId="17" fillId="35" borderId="19" xfId="62" applyFont="1" applyFill="1" applyBorder="1" applyAlignment="1">
      <alignment horizontal="centerContinuous" vertical="center"/>
    </xf>
    <xf numFmtId="0" fontId="17" fillId="35" borderId="20" xfId="62" applyFont="1" applyFill="1" applyBorder="1" applyAlignment="1">
      <alignment horizontal="centerContinuous" vertical="center"/>
    </xf>
    <xf numFmtId="179" fontId="17" fillId="35" borderId="21" xfId="62" applyNumberFormat="1" applyFont="1" applyFill="1" applyBorder="1" applyAlignment="1">
      <alignment horizontal="centerContinuous" vertical="center"/>
    </xf>
    <xf numFmtId="0" fontId="17" fillId="35" borderId="11" xfId="62" applyFont="1" applyFill="1" applyBorder="1" applyAlignment="1">
      <alignment horizontal="center" vertical="center" wrapText="1"/>
    </xf>
    <xf numFmtId="0" fontId="17" fillId="35" borderId="16" xfId="62" applyFont="1" applyFill="1" applyBorder="1" applyAlignment="1">
      <alignment horizontal="center" vertical="center" wrapText="1"/>
    </xf>
    <xf numFmtId="179" fontId="17" fillId="35" borderId="12" xfId="62" applyNumberFormat="1" applyFont="1" applyFill="1" applyBorder="1" applyAlignment="1">
      <alignment horizontal="center" vertical="center" wrapText="1"/>
    </xf>
    <xf numFmtId="0" fontId="17" fillId="36" borderId="8" xfId="62" applyFont="1" applyFill="1" applyBorder="1" applyAlignment="1">
      <alignment horizontal="distributed" vertical="center" indent="1"/>
    </xf>
    <xf numFmtId="178" fontId="17" fillId="36" borderId="22" xfId="62" applyNumberFormat="1" applyFont="1" applyFill="1" applyBorder="1" applyAlignment="1">
      <alignment horizontal="right" vertical="center"/>
    </xf>
    <xf numFmtId="178" fontId="17" fillId="36" borderId="20" xfId="62" applyNumberFormat="1" applyFont="1" applyFill="1" applyBorder="1" applyAlignment="1">
      <alignment horizontal="center" vertical="center"/>
    </xf>
    <xf numFmtId="186" fontId="17" fillId="36" borderId="23" xfId="62" applyNumberFormat="1" applyFont="1" applyFill="1" applyBorder="1" applyAlignment="1">
      <alignment horizontal="right" vertical="center"/>
    </xf>
    <xf numFmtId="0" fontId="13" fillId="36" borderId="21" xfId="62" applyFont="1" applyFill="1" applyBorder="1" applyAlignment="1">
      <alignment horizontal="center" vertical="center"/>
    </xf>
    <xf numFmtId="0" fontId="21" fillId="0" borderId="0" xfId="62" applyFont="1" applyFill="1" applyBorder="1" applyAlignment="1">
      <alignment horizontal="centerContinuous" vertical="center"/>
    </xf>
    <xf numFmtId="0" fontId="22" fillId="0" borderId="0" xfId="60" applyFont="1" applyFill="1" applyAlignment="1" applyProtection="1">
      <alignment horizontal="centerContinuous"/>
    </xf>
    <xf numFmtId="0" fontId="17" fillId="34" borderId="8" xfId="60" applyNumberFormat="1" applyFont="1" applyFill="1" applyBorder="1" applyAlignment="1" applyProtection="1">
      <alignment horizontal="center" wrapText="1"/>
    </xf>
    <xf numFmtId="207" fontId="17" fillId="34" borderId="8" xfId="60" applyNumberFormat="1" applyFont="1" applyFill="1" applyBorder="1" applyAlignment="1" applyProtection="1">
      <alignment horizontal="center" wrapText="1"/>
    </xf>
    <xf numFmtId="0" fontId="17" fillId="34" borderId="2" xfId="60" applyNumberFormat="1" applyFont="1" applyFill="1" applyBorder="1" applyAlignment="1" applyProtection="1">
      <alignment horizontal="centerContinuous" vertical="center" wrapText="1"/>
    </xf>
    <xf numFmtId="0" fontId="17" fillId="34" borderId="24" xfId="60" applyNumberFormat="1" applyFont="1" applyFill="1" applyBorder="1" applyAlignment="1" applyProtection="1">
      <alignment horizontal="center" vertical="top" wrapText="1"/>
    </xf>
    <xf numFmtId="0" fontId="17" fillId="34" borderId="24" xfId="60" applyNumberFormat="1" applyFont="1" applyFill="1" applyBorder="1" applyAlignment="1" applyProtection="1">
      <alignment wrapText="1"/>
    </xf>
    <xf numFmtId="207" fontId="17" fillId="34" borderId="24" xfId="60" applyNumberFormat="1" applyFont="1" applyFill="1" applyBorder="1" applyAlignment="1" applyProtection="1">
      <alignment horizontal="center" vertical="top" wrapText="1"/>
    </xf>
    <xf numFmtId="0" fontId="17" fillId="34" borderId="8" xfId="60" applyNumberFormat="1" applyFont="1" applyFill="1" applyBorder="1" applyAlignment="1" applyProtection="1">
      <alignment horizontal="center" vertical="center" wrapText="1"/>
    </xf>
    <xf numFmtId="0" fontId="17" fillId="34" borderId="8" xfId="60" applyNumberFormat="1" applyFont="1" applyFill="1" applyBorder="1" applyAlignment="1" applyProtection="1">
      <alignment horizontal="center" vertical="center"/>
    </xf>
    <xf numFmtId="0" fontId="17" fillId="36" borderId="14" xfId="60" applyNumberFormat="1" applyFont="1" applyFill="1" applyBorder="1" applyAlignment="1" applyProtection="1">
      <alignment horizontal="center" vertical="center" wrapText="1"/>
    </xf>
    <xf numFmtId="0" fontId="17" fillId="36" borderId="6" xfId="60" applyNumberFormat="1" applyFont="1" applyFill="1" applyBorder="1" applyAlignment="1" applyProtection="1">
      <alignment horizontal="center" vertical="center" wrapText="1"/>
    </xf>
    <xf numFmtId="0" fontId="17" fillId="36" borderId="25" xfId="60" applyNumberFormat="1" applyFont="1" applyFill="1" applyBorder="1" applyAlignment="1" applyProtection="1">
      <alignment horizontal="center" vertical="center" wrapText="1"/>
    </xf>
    <xf numFmtId="192" fontId="17" fillId="36" borderId="2" xfId="60" applyNumberFormat="1" applyFont="1" applyFill="1" applyBorder="1" applyAlignment="1">
      <alignment horizontal="center" vertical="center" wrapText="1"/>
    </xf>
    <xf numFmtId="207" fontId="17" fillId="36" borderId="2" xfId="60" applyNumberFormat="1" applyFont="1" applyFill="1" applyBorder="1" applyAlignment="1" applyProtection="1">
      <alignment horizontal="right" vertical="center" wrapText="1"/>
    </xf>
    <xf numFmtId="0" fontId="17" fillId="36" borderId="2" xfId="60" applyNumberFormat="1" applyFont="1" applyFill="1" applyBorder="1" applyAlignment="1" applyProtection="1">
      <alignment horizontal="center" vertical="center" wrapText="1"/>
    </xf>
    <xf numFmtId="0" fontId="17" fillId="36" borderId="2" xfId="60" applyNumberFormat="1" applyFont="1" applyFill="1" applyBorder="1" applyAlignment="1" applyProtection="1">
      <alignment horizontal="left" vertical="center"/>
    </xf>
    <xf numFmtId="0" fontId="17" fillId="36" borderId="2" xfId="60" applyNumberFormat="1" applyFont="1" applyFill="1" applyBorder="1" applyAlignment="1" applyProtection="1">
      <alignment horizontal="center" vertical="center"/>
    </xf>
    <xf numFmtId="0" fontId="17" fillId="36" borderId="2" xfId="60" applyNumberFormat="1" applyFont="1" applyFill="1" applyBorder="1" applyAlignment="1" applyProtection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2" xfId="0" quotePrefix="1" applyFont="1" applyFill="1" applyBorder="1" applyAlignment="1">
      <alignment horizontal="center" vertical="center" shrinkToFit="1"/>
    </xf>
    <xf numFmtId="0" fontId="13" fillId="0" borderId="2" xfId="60" applyFont="1" applyFill="1" applyBorder="1" applyAlignment="1">
      <alignment shrinkToFit="1"/>
    </xf>
    <xf numFmtId="0" fontId="17" fillId="0" borderId="2" xfId="0" applyFont="1" applyFill="1" applyBorder="1" applyAlignment="1">
      <alignment horizontal="center" vertical="center"/>
    </xf>
    <xf numFmtId="0" fontId="17" fillId="0" borderId="2" xfId="62" applyFont="1" applyFill="1" applyBorder="1" applyAlignment="1" applyProtection="1">
      <alignment horizontal="center" vertical="center" wrapText="1"/>
    </xf>
    <xf numFmtId="0" fontId="10" fillId="0" borderId="0" xfId="61" applyFont="1" applyFill="1" applyBorder="1" applyAlignment="1">
      <alignment horizontal="center"/>
    </xf>
    <xf numFmtId="0" fontId="17" fillId="0" borderId="8" xfId="61" applyFont="1" applyFill="1" applyBorder="1" applyAlignment="1">
      <alignment horizontal="center" vertical="center" wrapText="1"/>
    </xf>
    <xf numFmtId="0" fontId="17" fillId="0" borderId="24" xfId="61" applyFont="1" applyFill="1" applyBorder="1" applyAlignment="1">
      <alignment horizontal="center" vertical="center" wrapText="1"/>
    </xf>
    <xf numFmtId="0" fontId="17" fillId="0" borderId="7" xfId="61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4" fillId="0" borderId="0" xfId="61" applyFont="1" applyFill="1" applyBorder="1" applyAlignment="1">
      <alignment horizontal="center"/>
    </xf>
    <xf numFmtId="0" fontId="17" fillId="35" borderId="22" xfId="62" applyFont="1" applyFill="1" applyBorder="1" applyAlignment="1">
      <alignment horizontal="center" vertical="center"/>
    </xf>
    <xf numFmtId="0" fontId="17" fillId="35" borderId="28" xfId="62" applyFont="1" applyFill="1" applyBorder="1" applyAlignment="1">
      <alignment horizontal="center" vertical="center"/>
    </xf>
    <xf numFmtId="0" fontId="17" fillId="35" borderId="23" xfId="62" applyFont="1" applyFill="1" applyBorder="1" applyAlignment="1">
      <alignment horizontal="center" vertical="center"/>
    </xf>
    <xf numFmtId="0" fontId="17" fillId="35" borderId="8" xfId="62" applyFont="1" applyFill="1" applyBorder="1" applyAlignment="1">
      <alignment horizontal="center" vertical="center" wrapText="1"/>
    </xf>
    <xf numFmtId="0" fontId="17" fillId="35" borderId="7" xfId="62" applyFont="1" applyFill="1" applyBorder="1" applyAlignment="1">
      <alignment horizontal="center" vertical="center" wrapText="1"/>
    </xf>
    <xf numFmtId="0" fontId="17" fillId="34" borderId="8" xfId="60" applyNumberFormat="1" applyFont="1" applyFill="1" applyBorder="1" applyAlignment="1" applyProtection="1">
      <alignment horizontal="center" vertical="center" wrapText="1"/>
    </xf>
    <xf numFmtId="0" fontId="17" fillId="34" borderId="24" xfId="60" applyNumberFormat="1" applyFont="1" applyFill="1" applyBorder="1" applyAlignment="1" applyProtection="1">
      <alignment horizontal="center" vertical="center" wrapText="1"/>
    </xf>
  </cellXfs>
  <cellStyles count="63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" xfId="6" builtinId="50" customBuiltin="1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Comma" xfId="20"/>
    <cellStyle name="Comma [0]_ SG&amp;A Bridge " xfId="21"/>
    <cellStyle name="Comma_ SG&amp;A Bridge " xfId="22"/>
    <cellStyle name="Currency" xfId="23"/>
    <cellStyle name="Currency [0]_ SG&amp;A Bridge " xfId="24"/>
    <cellStyle name="Currency_ SG&amp;A Bridge " xfId="25"/>
    <cellStyle name="Date" xfId="26"/>
    <cellStyle name="Fixed" xfId="27"/>
    <cellStyle name="Heading1" xfId="28"/>
    <cellStyle name="Heading2" xfId="29"/>
    <cellStyle name="Normal_ SG&amp;A Bridge " xfId="30"/>
    <cellStyle name="Percent" xfId="31"/>
    <cellStyle name="Total" xfId="32"/>
    <cellStyle name="강조색1 2" xfId="33"/>
    <cellStyle name="강조색2 2" xfId="34"/>
    <cellStyle name="강조색3 2" xfId="35"/>
    <cellStyle name="강조색4 2" xfId="36"/>
    <cellStyle name="강조색5 2" xfId="37"/>
    <cellStyle name="강조색6 2" xfId="38"/>
    <cellStyle name="경고문 2" xfId="39"/>
    <cellStyle name="계산 2" xfId="40"/>
    <cellStyle name="나쁨 2" xfId="41"/>
    <cellStyle name="메모 2" xfId="42"/>
    <cellStyle name="보통 2" xfId="43"/>
    <cellStyle name="뷭?_BOOKSHIP" xfId="44"/>
    <cellStyle name="설명 텍스트 2" xfId="45"/>
    <cellStyle name="셀 확인 2" xfId="46"/>
    <cellStyle name="연결된 셀 2" xfId="47"/>
    <cellStyle name="요약 2" xfId="48"/>
    <cellStyle name="입력 2" xfId="49"/>
    <cellStyle name="제목 1 2" xfId="50"/>
    <cellStyle name="제목 2 2" xfId="51"/>
    <cellStyle name="제목 3 2" xfId="52"/>
    <cellStyle name="제목 4 2" xfId="53"/>
    <cellStyle name="제목 5" xfId="54"/>
    <cellStyle name="좋음 2" xfId="55"/>
    <cellStyle name="출력 2" xfId="56"/>
    <cellStyle name="콤마 [0]_1202" xfId="57"/>
    <cellStyle name="콤마_1202" xfId="58"/>
    <cellStyle name="표준" xfId="0" builtinId="0"/>
    <cellStyle name="표준 2" xfId="59"/>
    <cellStyle name="표준_용지조서(1)" xfId="60"/>
    <cellStyle name="표준_전체집계표 (10)" xfId="61"/>
    <cellStyle name="표준_집계표" xfId="62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30"/>
  <sheetViews>
    <sheetView showGridLines="0" showZeros="0" view="pageBreakPreview" zoomScaleNormal="100" zoomScaleSheetLayoutView="100" workbookViewId="0">
      <selection activeCell="G2" activeCellId="3" sqref="B1:B65536 D1:D65536 E1:E65536 G1:G65536"/>
    </sheetView>
  </sheetViews>
  <sheetFormatPr defaultRowHeight="18" customHeight="1"/>
  <cols>
    <col min="1" max="1" width="8.77734375" style="14" customWidth="1"/>
    <col min="2" max="2" width="13.33203125" style="14" customWidth="1"/>
    <col min="3" max="3" width="2.109375" style="14" customWidth="1"/>
    <col min="4" max="4" width="13.33203125" style="51" customWidth="1"/>
    <col min="5" max="5" width="13.33203125" style="25" customWidth="1"/>
    <col min="6" max="6" width="2.109375" style="14" customWidth="1"/>
    <col min="7" max="7" width="13.33203125" style="53" customWidth="1"/>
    <col min="8" max="8" width="6.21875" style="26" customWidth="1"/>
    <col min="9" max="10" width="6" style="14" customWidth="1"/>
    <col min="11" max="16384" width="8.88671875" style="14"/>
  </cols>
  <sheetData>
    <row r="1" spans="1:8" s="9" customFormat="1" ht="30" customHeight="1">
      <c r="A1" s="133" t="s">
        <v>50</v>
      </c>
      <c r="B1" s="133"/>
      <c r="C1" s="133"/>
      <c r="D1" s="133"/>
      <c r="E1" s="133"/>
      <c r="F1" s="133"/>
      <c r="G1" s="133"/>
      <c r="H1" s="133"/>
    </row>
    <row r="2" spans="1:8" ht="15" customHeight="1">
      <c r="A2" s="10"/>
      <c r="B2" s="11"/>
      <c r="C2" s="11"/>
      <c r="D2" s="49"/>
      <c r="E2" s="12"/>
      <c r="F2" s="11"/>
      <c r="G2" s="52"/>
      <c r="H2" s="13"/>
    </row>
    <row r="3" spans="1:8" s="15" customFormat="1" ht="30" customHeight="1">
      <c r="A3" s="134" t="s">
        <v>39</v>
      </c>
      <c r="B3" s="137" t="s">
        <v>46</v>
      </c>
      <c r="C3" s="138"/>
      <c r="D3" s="138"/>
      <c r="E3" s="131" t="s">
        <v>146</v>
      </c>
      <c r="F3" s="131"/>
      <c r="G3" s="131"/>
      <c r="H3" s="145" t="s">
        <v>52</v>
      </c>
    </row>
    <row r="4" spans="1:8" s="15" customFormat="1" ht="30" customHeight="1">
      <c r="A4" s="135"/>
      <c r="B4" s="139"/>
      <c r="C4" s="140"/>
      <c r="D4" s="141"/>
      <c r="E4" s="131" t="s">
        <v>147</v>
      </c>
      <c r="F4" s="131"/>
      <c r="G4" s="131"/>
      <c r="H4" s="146"/>
    </row>
    <row r="5" spans="1:8" s="15" customFormat="1" ht="30" customHeight="1">
      <c r="A5" s="135"/>
      <c r="B5" s="142"/>
      <c r="C5" s="143"/>
      <c r="D5" s="144"/>
      <c r="E5" s="132" t="s">
        <v>63</v>
      </c>
      <c r="F5" s="132"/>
      <c r="G5" s="132"/>
      <c r="H5" s="146"/>
    </row>
    <row r="6" spans="1:8" s="15" customFormat="1" ht="30" customHeight="1">
      <c r="A6" s="136"/>
      <c r="B6" s="16" t="s">
        <v>2</v>
      </c>
      <c r="C6" s="17" t="s">
        <v>3</v>
      </c>
      <c r="D6" s="50" t="s">
        <v>4</v>
      </c>
      <c r="E6" s="16" t="s">
        <v>2</v>
      </c>
      <c r="F6" s="17" t="s">
        <v>3</v>
      </c>
      <c r="G6" s="59" t="s">
        <v>4</v>
      </c>
      <c r="H6" s="147"/>
    </row>
    <row r="7" spans="1:8" s="66" customFormat="1" ht="30" customHeight="1">
      <c r="A7" s="62" t="s">
        <v>1</v>
      </c>
      <c r="B7" s="63">
        <f>SUM(B8:B32)</f>
        <v>95</v>
      </c>
      <c r="C7" s="64" t="s">
        <v>3</v>
      </c>
      <c r="D7" s="70">
        <f>SUM(D8:D32)</f>
        <v>697008</v>
      </c>
      <c r="E7" s="63">
        <f>SUM(E8:E32)</f>
        <v>95</v>
      </c>
      <c r="F7" s="64" t="s">
        <v>3</v>
      </c>
      <c r="G7" s="70">
        <f>SUM(G8:G32)</f>
        <v>697008</v>
      </c>
      <c r="H7" s="65"/>
    </row>
    <row r="8" spans="1:8" s="15" customFormat="1" ht="30" customHeight="1">
      <c r="A8" s="18" t="s">
        <v>5</v>
      </c>
      <c r="B8" s="58">
        <f t="shared" ref="B8:B32" si="0">E8</f>
        <v>3</v>
      </c>
      <c r="C8" s="19" t="s">
        <v>3</v>
      </c>
      <c r="D8" s="71">
        <f t="shared" ref="D8:D32" si="1">G8</f>
        <v>709</v>
      </c>
      <c r="E8" s="58">
        <f>집계표!$B7</f>
        <v>3</v>
      </c>
      <c r="F8" s="19" t="s">
        <v>3</v>
      </c>
      <c r="G8" s="71">
        <f>집계표!$D7</f>
        <v>709</v>
      </c>
      <c r="H8" s="24"/>
    </row>
    <row r="9" spans="1:8" s="15" customFormat="1" ht="30" customHeight="1">
      <c r="A9" s="18" t="s">
        <v>6</v>
      </c>
      <c r="B9" s="58">
        <f t="shared" si="0"/>
        <v>8</v>
      </c>
      <c r="C9" s="19" t="s">
        <v>3</v>
      </c>
      <c r="D9" s="71">
        <f t="shared" si="1"/>
        <v>7338</v>
      </c>
      <c r="E9" s="58">
        <f>집계표!$B8</f>
        <v>8</v>
      </c>
      <c r="F9" s="19" t="s">
        <v>3</v>
      </c>
      <c r="G9" s="71">
        <f>집계표!$D8</f>
        <v>7338</v>
      </c>
      <c r="H9" s="24"/>
    </row>
    <row r="10" spans="1:8" s="15" customFormat="1" ht="30" customHeight="1">
      <c r="A10" s="18" t="s">
        <v>7</v>
      </c>
      <c r="B10" s="58">
        <f t="shared" si="0"/>
        <v>19</v>
      </c>
      <c r="C10" s="19" t="s">
        <v>3</v>
      </c>
      <c r="D10" s="71">
        <f t="shared" si="1"/>
        <v>7392</v>
      </c>
      <c r="E10" s="58">
        <f>집계표!$B9</f>
        <v>19</v>
      </c>
      <c r="F10" s="19" t="s">
        <v>3</v>
      </c>
      <c r="G10" s="71">
        <f>집계표!$D9</f>
        <v>7392</v>
      </c>
      <c r="H10" s="24"/>
    </row>
    <row r="11" spans="1:8" s="15" customFormat="1" ht="30" customHeight="1">
      <c r="A11" s="18" t="s">
        <v>8</v>
      </c>
      <c r="B11" s="58">
        <f t="shared" si="0"/>
        <v>1</v>
      </c>
      <c r="C11" s="19" t="s">
        <v>3</v>
      </c>
      <c r="D11" s="71">
        <f t="shared" si="1"/>
        <v>18</v>
      </c>
      <c r="E11" s="58">
        <f>집계표!$B10</f>
        <v>1</v>
      </c>
      <c r="F11" s="19" t="s">
        <v>3</v>
      </c>
      <c r="G11" s="71">
        <f>집계표!$D10</f>
        <v>18</v>
      </c>
      <c r="H11" s="24"/>
    </row>
    <row r="12" spans="1:8" s="15" customFormat="1" ht="30" customHeight="1">
      <c r="A12" s="18" t="s">
        <v>9</v>
      </c>
      <c r="B12" s="58">
        <f t="shared" si="0"/>
        <v>61</v>
      </c>
      <c r="C12" s="19" t="s">
        <v>3</v>
      </c>
      <c r="D12" s="71">
        <f t="shared" si="1"/>
        <v>21430</v>
      </c>
      <c r="E12" s="58">
        <f>집계표!$B11</f>
        <v>61</v>
      </c>
      <c r="F12" s="19" t="s">
        <v>3</v>
      </c>
      <c r="G12" s="71">
        <f>집계표!$D11</f>
        <v>21430</v>
      </c>
      <c r="H12" s="24"/>
    </row>
    <row r="13" spans="1:8" s="15" customFormat="1" ht="30" customHeight="1">
      <c r="A13" s="18" t="s">
        <v>11</v>
      </c>
      <c r="B13" s="58">
        <f t="shared" si="0"/>
        <v>0</v>
      </c>
      <c r="C13" s="19" t="s">
        <v>3</v>
      </c>
      <c r="D13" s="71">
        <f t="shared" si="1"/>
        <v>0</v>
      </c>
      <c r="E13" s="58">
        <f>집계표!$B12</f>
        <v>0</v>
      </c>
      <c r="F13" s="19" t="s">
        <v>3</v>
      </c>
      <c r="G13" s="71">
        <f>집계표!$D12</f>
        <v>0</v>
      </c>
      <c r="H13" s="24"/>
    </row>
    <row r="14" spans="1:8" s="15" customFormat="1" ht="30" customHeight="1">
      <c r="A14" s="18" t="s">
        <v>10</v>
      </c>
      <c r="B14" s="58">
        <f t="shared" si="0"/>
        <v>0</v>
      </c>
      <c r="C14" s="19" t="s">
        <v>3</v>
      </c>
      <c r="D14" s="71">
        <f t="shared" si="1"/>
        <v>0</v>
      </c>
      <c r="E14" s="58">
        <f>집계표!$B13</f>
        <v>0</v>
      </c>
      <c r="F14" s="19" t="s">
        <v>3</v>
      </c>
      <c r="G14" s="71">
        <f>집계표!$D13</f>
        <v>0</v>
      </c>
      <c r="H14" s="24"/>
    </row>
    <row r="15" spans="1:8" s="15" customFormat="1" ht="30" customHeight="1">
      <c r="A15" s="18" t="s">
        <v>13</v>
      </c>
      <c r="B15" s="58">
        <f t="shared" si="0"/>
        <v>0</v>
      </c>
      <c r="C15" s="19" t="s">
        <v>3</v>
      </c>
      <c r="D15" s="71">
        <f t="shared" si="1"/>
        <v>0</v>
      </c>
      <c r="E15" s="58">
        <f>집계표!$B14</f>
        <v>0</v>
      </c>
      <c r="F15" s="19" t="s">
        <v>3</v>
      </c>
      <c r="G15" s="71">
        <f>집계표!$D14</f>
        <v>0</v>
      </c>
      <c r="H15" s="24"/>
    </row>
    <row r="16" spans="1:8" s="15" customFormat="1" ht="30" customHeight="1">
      <c r="A16" s="18" t="s">
        <v>12</v>
      </c>
      <c r="B16" s="58">
        <f t="shared" si="0"/>
        <v>0</v>
      </c>
      <c r="C16" s="19" t="s">
        <v>3</v>
      </c>
      <c r="D16" s="71">
        <f t="shared" si="1"/>
        <v>0</v>
      </c>
      <c r="E16" s="58">
        <f>집계표!$B15</f>
        <v>0</v>
      </c>
      <c r="F16" s="19" t="s">
        <v>3</v>
      </c>
      <c r="G16" s="71">
        <f>집계표!$D15</f>
        <v>0</v>
      </c>
      <c r="H16" s="24"/>
    </row>
    <row r="17" spans="1:8" s="15" customFormat="1" ht="30" customHeight="1">
      <c r="A17" s="18" t="s">
        <v>14</v>
      </c>
      <c r="B17" s="58">
        <f t="shared" si="0"/>
        <v>0</v>
      </c>
      <c r="C17" s="19" t="s">
        <v>3</v>
      </c>
      <c r="D17" s="71">
        <f t="shared" si="1"/>
        <v>0</v>
      </c>
      <c r="E17" s="58">
        <f>집계표!$B16</f>
        <v>0</v>
      </c>
      <c r="F17" s="19" t="s">
        <v>3</v>
      </c>
      <c r="G17" s="71">
        <f>집계표!$D16</f>
        <v>0</v>
      </c>
      <c r="H17" s="24"/>
    </row>
    <row r="18" spans="1:8" s="15" customFormat="1" ht="30" customHeight="1">
      <c r="A18" s="18" t="s">
        <v>18</v>
      </c>
      <c r="B18" s="58">
        <f t="shared" si="0"/>
        <v>0</v>
      </c>
      <c r="C18" s="19" t="s">
        <v>3</v>
      </c>
      <c r="D18" s="71">
        <f t="shared" si="1"/>
        <v>0</v>
      </c>
      <c r="E18" s="58">
        <f>집계표!$B17</f>
        <v>0</v>
      </c>
      <c r="F18" s="19" t="s">
        <v>3</v>
      </c>
      <c r="G18" s="71">
        <f>집계표!$D17</f>
        <v>0</v>
      </c>
      <c r="H18" s="24"/>
    </row>
    <row r="19" spans="1:8" s="15" customFormat="1" ht="30" customHeight="1">
      <c r="A19" s="18" t="s">
        <v>16</v>
      </c>
      <c r="B19" s="58">
        <f t="shared" si="0"/>
        <v>0</v>
      </c>
      <c r="C19" s="19" t="s">
        <v>3</v>
      </c>
      <c r="D19" s="71">
        <f t="shared" si="1"/>
        <v>0</v>
      </c>
      <c r="E19" s="58">
        <f>집계표!$B18</f>
        <v>0</v>
      </c>
      <c r="F19" s="19" t="s">
        <v>3</v>
      </c>
      <c r="G19" s="71">
        <f>집계표!$D18</f>
        <v>0</v>
      </c>
      <c r="H19" s="24"/>
    </row>
    <row r="20" spans="1:8" s="15" customFormat="1" ht="30" customHeight="1">
      <c r="A20" s="18" t="s">
        <v>20</v>
      </c>
      <c r="B20" s="58">
        <f t="shared" si="0"/>
        <v>0</v>
      </c>
      <c r="C20" s="19" t="s">
        <v>3</v>
      </c>
      <c r="D20" s="71">
        <f t="shared" si="1"/>
        <v>0</v>
      </c>
      <c r="E20" s="58">
        <f>집계표!$B19</f>
        <v>0</v>
      </c>
      <c r="F20" s="19" t="s">
        <v>3</v>
      </c>
      <c r="G20" s="71">
        <f>집계표!$D19</f>
        <v>0</v>
      </c>
      <c r="H20" s="24"/>
    </row>
    <row r="21" spans="1:8" s="15" customFormat="1" ht="30" customHeight="1">
      <c r="A21" s="18" t="s">
        <v>31</v>
      </c>
      <c r="B21" s="58">
        <f t="shared" si="0"/>
        <v>0</v>
      </c>
      <c r="C21" s="19" t="s">
        <v>3</v>
      </c>
      <c r="D21" s="71">
        <f t="shared" si="1"/>
        <v>0</v>
      </c>
      <c r="E21" s="58">
        <f>집계표!$B20</f>
        <v>0</v>
      </c>
      <c r="F21" s="19" t="s">
        <v>3</v>
      </c>
      <c r="G21" s="71">
        <f>집계표!$D20</f>
        <v>0</v>
      </c>
      <c r="H21" s="24"/>
    </row>
    <row r="22" spans="1:8" s="15" customFormat="1" ht="30" customHeight="1">
      <c r="A22" s="18" t="s">
        <v>15</v>
      </c>
      <c r="B22" s="58">
        <f t="shared" si="0"/>
        <v>2</v>
      </c>
      <c r="C22" s="19" t="s">
        <v>3</v>
      </c>
      <c r="D22" s="71">
        <f t="shared" si="1"/>
        <v>82</v>
      </c>
      <c r="E22" s="58">
        <f>집계표!$B21</f>
        <v>2</v>
      </c>
      <c r="F22" s="19" t="s">
        <v>3</v>
      </c>
      <c r="G22" s="71">
        <f>집계표!$D21</f>
        <v>82</v>
      </c>
      <c r="H22" s="24"/>
    </row>
    <row r="23" spans="1:8" s="15" customFormat="1" ht="30" customHeight="1">
      <c r="A23" s="18" t="s">
        <v>40</v>
      </c>
      <c r="B23" s="58">
        <f t="shared" si="0"/>
        <v>0</v>
      </c>
      <c r="C23" s="19" t="s">
        <v>3</v>
      </c>
      <c r="D23" s="71">
        <f t="shared" si="1"/>
        <v>0</v>
      </c>
      <c r="E23" s="58">
        <f>집계표!$B22</f>
        <v>0</v>
      </c>
      <c r="F23" s="19" t="s">
        <v>3</v>
      </c>
      <c r="G23" s="71">
        <f>집계표!$D22</f>
        <v>0</v>
      </c>
      <c r="H23" s="24"/>
    </row>
    <row r="24" spans="1:8" s="15" customFormat="1" ht="30" customHeight="1">
      <c r="A24" s="18" t="s">
        <v>17</v>
      </c>
      <c r="B24" s="58">
        <f t="shared" si="0"/>
        <v>0</v>
      </c>
      <c r="C24" s="19" t="s">
        <v>3</v>
      </c>
      <c r="D24" s="71">
        <f t="shared" si="1"/>
        <v>0</v>
      </c>
      <c r="E24" s="58">
        <f>집계표!$B23</f>
        <v>0</v>
      </c>
      <c r="F24" s="19" t="s">
        <v>3</v>
      </c>
      <c r="G24" s="71">
        <f>집계표!$D23</f>
        <v>0</v>
      </c>
      <c r="H24" s="24"/>
    </row>
    <row r="25" spans="1:8" s="15" customFormat="1" ht="30" customHeight="1">
      <c r="A25" s="20" t="s">
        <v>32</v>
      </c>
      <c r="B25" s="58">
        <f t="shared" si="0"/>
        <v>0</v>
      </c>
      <c r="C25" s="19" t="s">
        <v>3</v>
      </c>
      <c r="D25" s="71">
        <f t="shared" si="1"/>
        <v>0</v>
      </c>
      <c r="E25" s="58">
        <f>집계표!$B24</f>
        <v>0</v>
      </c>
      <c r="F25" s="19" t="s">
        <v>3</v>
      </c>
      <c r="G25" s="71">
        <f>집계표!$D24</f>
        <v>0</v>
      </c>
      <c r="H25" s="24"/>
    </row>
    <row r="26" spans="1:8" s="15" customFormat="1" ht="30" customHeight="1">
      <c r="A26" s="21" t="s">
        <v>41</v>
      </c>
      <c r="B26" s="58">
        <f t="shared" si="0"/>
        <v>0</v>
      </c>
      <c r="C26" s="19" t="s">
        <v>3</v>
      </c>
      <c r="D26" s="71">
        <f t="shared" si="1"/>
        <v>0</v>
      </c>
      <c r="E26" s="58">
        <f>집계표!$B25</f>
        <v>0</v>
      </c>
      <c r="F26" s="19" t="s">
        <v>3</v>
      </c>
      <c r="G26" s="71">
        <f>집계표!$D25</f>
        <v>0</v>
      </c>
      <c r="H26" s="24"/>
    </row>
    <row r="27" spans="1:8" s="15" customFormat="1" ht="30" customHeight="1">
      <c r="A27" s="21" t="s">
        <v>33</v>
      </c>
      <c r="B27" s="58">
        <f t="shared" si="0"/>
        <v>0</v>
      </c>
      <c r="C27" s="19" t="s">
        <v>3</v>
      </c>
      <c r="D27" s="71">
        <f t="shared" si="1"/>
        <v>0</v>
      </c>
      <c r="E27" s="58">
        <f>집계표!$B26</f>
        <v>0</v>
      </c>
      <c r="F27" s="19" t="s">
        <v>3</v>
      </c>
      <c r="G27" s="71">
        <f>집계표!$D26</f>
        <v>0</v>
      </c>
      <c r="H27" s="24"/>
    </row>
    <row r="28" spans="1:8" s="15" customFormat="1" ht="30" customHeight="1">
      <c r="A28" s="21" t="s">
        <v>34</v>
      </c>
      <c r="B28" s="58">
        <f t="shared" si="0"/>
        <v>0</v>
      </c>
      <c r="C28" s="19" t="s">
        <v>3</v>
      </c>
      <c r="D28" s="71">
        <f t="shared" si="1"/>
        <v>0</v>
      </c>
      <c r="E28" s="58">
        <f>집계표!$B27</f>
        <v>0</v>
      </c>
      <c r="F28" s="19" t="s">
        <v>3</v>
      </c>
      <c r="G28" s="71">
        <f>집계표!$D27</f>
        <v>0</v>
      </c>
      <c r="H28" s="24"/>
    </row>
    <row r="29" spans="1:8" s="15" customFormat="1" ht="30" customHeight="1">
      <c r="A29" s="21" t="s">
        <v>54</v>
      </c>
      <c r="B29" s="58">
        <f t="shared" si="0"/>
        <v>0</v>
      </c>
      <c r="C29" s="19" t="s">
        <v>3</v>
      </c>
      <c r="D29" s="71">
        <f t="shared" si="1"/>
        <v>0</v>
      </c>
      <c r="E29" s="58">
        <f>집계표!$B28</f>
        <v>0</v>
      </c>
      <c r="F29" s="19" t="s">
        <v>3</v>
      </c>
      <c r="G29" s="71">
        <f>집계표!$D28</f>
        <v>0</v>
      </c>
      <c r="H29" s="24"/>
    </row>
    <row r="30" spans="1:8" s="15" customFormat="1" ht="30" customHeight="1">
      <c r="A30" s="21" t="s">
        <v>42</v>
      </c>
      <c r="B30" s="58">
        <f t="shared" si="0"/>
        <v>0</v>
      </c>
      <c r="C30" s="19" t="s">
        <v>3</v>
      </c>
      <c r="D30" s="71">
        <f t="shared" si="1"/>
        <v>0</v>
      </c>
      <c r="E30" s="58">
        <f>집계표!$B29</f>
        <v>0</v>
      </c>
      <c r="F30" s="19" t="s">
        <v>3</v>
      </c>
      <c r="G30" s="71">
        <f>집계표!$D29</f>
        <v>0</v>
      </c>
      <c r="H30" s="24"/>
    </row>
    <row r="31" spans="1:8" s="15" customFormat="1" ht="30" customHeight="1">
      <c r="A31" s="22" t="s">
        <v>43</v>
      </c>
      <c r="B31" s="58">
        <f t="shared" si="0"/>
        <v>0</v>
      </c>
      <c r="C31" s="19" t="s">
        <v>3</v>
      </c>
      <c r="D31" s="71">
        <f t="shared" si="1"/>
        <v>0</v>
      </c>
      <c r="E31" s="58">
        <f>집계표!$B30</f>
        <v>0</v>
      </c>
      <c r="F31" s="19" t="s">
        <v>3</v>
      </c>
      <c r="G31" s="71">
        <f>집계표!$D30</f>
        <v>0</v>
      </c>
      <c r="H31" s="24"/>
    </row>
    <row r="32" spans="1:8" s="15" customFormat="1" ht="30" customHeight="1">
      <c r="A32" s="23" t="s">
        <v>44</v>
      </c>
      <c r="B32" s="58">
        <f t="shared" si="0"/>
        <v>1</v>
      </c>
      <c r="C32" s="19" t="s">
        <v>3</v>
      </c>
      <c r="D32" s="71">
        <f t="shared" si="1"/>
        <v>660039</v>
      </c>
      <c r="E32" s="58">
        <f>집계표!$B31</f>
        <v>1</v>
      </c>
      <c r="F32" s="19" t="s">
        <v>3</v>
      </c>
      <c r="G32" s="71">
        <f>집계표!$D31</f>
        <v>660039</v>
      </c>
      <c r="H32" s="24"/>
    </row>
    <row r="33" spans="1:8" s="9" customFormat="1" ht="30" customHeight="1">
      <c r="A33" s="133" t="s">
        <v>49</v>
      </c>
      <c r="B33" s="133"/>
      <c r="C33" s="133"/>
      <c r="D33" s="133"/>
      <c r="E33" s="133"/>
      <c r="F33" s="133"/>
      <c r="G33" s="133"/>
      <c r="H33" s="133"/>
    </row>
    <row r="34" spans="1:8" ht="15" customHeight="1">
      <c r="A34" s="10"/>
      <c r="B34" s="11"/>
      <c r="C34" s="11"/>
      <c r="D34" s="49"/>
      <c r="E34" s="12"/>
      <c r="F34" s="11"/>
      <c r="G34" s="52"/>
      <c r="H34" s="13"/>
    </row>
    <row r="35" spans="1:8" s="15" customFormat="1" ht="30" customHeight="1">
      <c r="A35" s="134" t="s">
        <v>39</v>
      </c>
      <c r="B35" s="137" t="s">
        <v>46</v>
      </c>
      <c r="C35" s="138"/>
      <c r="D35" s="138"/>
      <c r="E35" s="131" t="s">
        <v>64</v>
      </c>
      <c r="F35" s="131"/>
      <c r="G35" s="131"/>
      <c r="H35" s="145" t="s">
        <v>52</v>
      </c>
    </row>
    <row r="36" spans="1:8" s="15" customFormat="1" ht="30" customHeight="1">
      <c r="A36" s="135"/>
      <c r="B36" s="139"/>
      <c r="C36" s="140"/>
      <c r="D36" s="141"/>
      <c r="E36" s="131" t="s">
        <v>65</v>
      </c>
      <c r="F36" s="131"/>
      <c r="G36" s="131"/>
      <c r="H36" s="146"/>
    </row>
    <row r="37" spans="1:8" s="15" customFormat="1" ht="30" customHeight="1">
      <c r="A37" s="135"/>
      <c r="B37" s="142"/>
      <c r="C37" s="143"/>
      <c r="D37" s="144"/>
      <c r="E37" s="132" t="s">
        <v>63</v>
      </c>
      <c r="F37" s="132"/>
      <c r="G37" s="132"/>
      <c r="H37" s="146"/>
    </row>
    <row r="38" spans="1:8" s="15" customFormat="1" ht="30" customHeight="1">
      <c r="A38" s="136"/>
      <c r="B38" s="16" t="s">
        <v>2</v>
      </c>
      <c r="C38" s="17" t="s">
        <v>3</v>
      </c>
      <c r="D38" s="50" t="s">
        <v>4</v>
      </c>
      <c r="E38" s="16" t="s">
        <v>2</v>
      </c>
      <c r="F38" s="17" t="s">
        <v>3</v>
      </c>
      <c r="G38" s="59" t="s">
        <v>4</v>
      </c>
      <c r="H38" s="147"/>
    </row>
    <row r="39" spans="1:8" s="66" customFormat="1" ht="30" customHeight="1">
      <c r="A39" s="62" t="s">
        <v>1</v>
      </c>
      <c r="B39" s="63">
        <f>SUM(B40:B64)</f>
        <v>65</v>
      </c>
      <c r="C39" s="64" t="s">
        <v>3</v>
      </c>
      <c r="D39" s="70">
        <f>SUM(D40:D64)</f>
        <v>685831</v>
      </c>
      <c r="E39" s="63">
        <f>SUM(E40:E64)</f>
        <v>65</v>
      </c>
      <c r="F39" s="64" t="s">
        <v>3</v>
      </c>
      <c r="G39" s="70">
        <f>SUM(G40:G64)</f>
        <v>685831</v>
      </c>
      <c r="H39" s="65"/>
    </row>
    <row r="40" spans="1:8" s="15" customFormat="1" ht="30" customHeight="1">
      <c r="A40" s="18" t="s">
        <v>5</v>
      </c>
      <c r="B40" s="58">
        <f t="shared" ref="B40:B64" si="2">E40</f>
        <v>0</v>
      </c>
      <c r="C40" s="19" t="s">
        <v>3</v>
      </c>
      <c r="D40" s="71">
        <f t="shared" ref="D40:D64" si="3">G40</f>
        <v>0</v>
      </c>
      <c r="E40" s="58">
        <f>집계표!$E7</f>
        <v>0</v>
      </c>
      <c r="F40" s="19" t="s">
        <v>3</v>
      </c>
      <c r="G40" s="71">
        <f>집계표!$G7</f>
        <v>0</v>
      </c>
      <c r="H40" s="24"/>
    </row>
    <row r="41" spans="1:8" s="15" customFormat="1" ht="30" customHeight="1">
      <c r="A41" s="18" t="s">
        <v>6</v>
      </c>
      <c r="B41" s="58">
        <f t="shared" si="2"/>
        <v>2</v>
      </c>
      <c r="C41" s="19" t="s">
        <v>3</v>
      </c>
      <c r="D41" s="71">
        <f t="shared" si="3"/>
        <v>241</v>
      </c>
      <c r="E41" s="58">
        <f>집계표!$E8</f>
        <v>2</v>
      </c>
      <c r="F41" s="19" t="s">
        <v>3</v>
      </c>
      <c r="G41" s="71">
        <f>집계표!$G8</f>
        <v>241</v>
      </c>
      <c r="H41" s="24"/>
    </row>
    <row r="42" spans="1:8" s="15" customFormat="1" ht="30" customHeight="1">
      <c r="A42" s="18" t="s">
        <v>7</v>
      </c>
      <c r="B42" s="58">
        <f t="shared" si="2"/>
        <v>14</v>
      </c>
      <c r="C42" s="19" t="s">
        <v>3</v>
      </c>
      <c r="D42" s="71">
        <f t="shared" si="3"/>
        <v>6874</v>
      </c>
      <c r="E42" s="58">
        <f>집계표!$E9</f>
        <v>14</v>
      </c>
      <c r="F42" s="19" t="s">
        <v>3</v>
      </c>
      <c r="G42" s="71">
        <f>집계표!$G9</f>
        <v>6874</v>
      </c>
      <c r="H42" s="24"/>
    </row>
    <row r="43" spans="1:8" s="15" customFormat="1" ht="30" customHeight="1">
      <c r="A43" s="18" t="s">
        <v>8</v>
      </c>
      <c r="B43" s="58">
        <f t="shared" si="2"/>
        <v>1</v>
      </c>
      <c r="C43" s="19" t="s">
        <v>3</v>
      </c>
      <c r="D43" s="71">
        <f t="shared" si="3"/>
        <v>18</v>
      </c>
      <c r="E43" s="58">
        <f>집계표!$E10</f>
        <v>1</v>
      </c>
      <c r="F43" s="19" t="s">
        <v>3</v>
      </c>
      <c r="G43" s="71">
        <f>집계표!$G10</f>
        <v>18</v>
      </c>
      <c r="H43" s="24"/>
    </row>
    <row r="44" spans="1:8" s="15" customFormat="1" ht="30" customHeight="1">
      <c r="A44" s="18" t="s">
        <v>9</v>
      </c>
      <c r="B44" s="58">
        <f t="shared" si="2"/>
        <v>46</v>
      </c>
      <c r="C44" s="19" t="s">
        <v>3</v>
      </c>
      <c r="D44" s="71">
        <f t="shared" si="3"/>
        <v>18638</v>
      </c>
      <c r="E44" s="58">
        <f>집계표!$E11</f>
        <v>46</v>
      </c>
      <c r="F44" s="19" t="s">
        <v>3</v>
      </c>
      <c r="G44" s="71">
        <f>집계표!$G11</f>
        <v>18638</v>
      </c>
      <c r="H44" s="24"/>
    </row>
    <row r="45" spans="1:8" s="15" customFormat="1" ht="30" customHeight="1">
      <c r="A45" s="18" t="s">
        <v>11</v>
      </c>
      <c r="B45" s="58">
        <f t="shared" si="2"/>
        <v>0</v>
      </c>
      <c r="C45" s="19" t="s">
        <v>3</v>
      </c>
      <c r="D45" s="71">
        <f t="shared" si="3"/>
        <v>0</v>
      </c>
      <c r="E45" s="58">
        <f>집계표!$E12</f>
        <v>0</v>
      </c>
      <c r="F45" s="19" t="s">
        <v>3</v>
      </c>
      <c r="G45" s="71">
        <f>집계표!$G12</f>
        <v>0</v>
      </c>
      <c r="H45" s="24"/>
    </row>
    <row r="46" spans="1:8" s="15" customFormat="1" ht="30" customHeight="1">
      <c r="A46" s="18" t="s">
        <v>10</v>
      </c>
      <c r="B46" s="58">
        <f t="shared" si="2"/>
        <v>0</v>
      </c>
      <c r="C46" s="19" t="s">
        <v>3</v>
      </c>
      <c r="D46" s="71">
        <f t="shared" si="3"/>
        <v>0</v>
      </c>
      <c r="E46" s="58">
        <f>집계표!$E13</f>
        <v>0</v>
      </c>
      <c r="F46" s="19" t="s">
        <v>3</v>
      </c>
      <c r="G46" s="71">
        <f>집계표!$G13</f>
        <v>0</v>
      </c>
      <c r="H46" s="24"/>
    </row>
    <row r="47" spans="1:8" s="15" customFormat="1" ht="30" customHeight="1">
      <c r="A47" s="18" t="s">
        <v>13</v>
      </c>
      <c r="B47" s="58">
        <f t="shared" si="2"/>
        <v>0</v>
      </c>
      <c r="C47" s="19" t="s">
        <v>3</v>
      </c>
      <c r="D47" s="71">
        <f t="shared" si="3"/>
        <v>0</v>
      </c>
      <c r="E47" s="58">
        <f>집계표!$E14</f>
        <v>0</v>
      </c>
      <c r="F47" s="19" t="s">
        <v>3</v>
      </c>
      <c r="G47" s="71">
        <f>집계표!$G14</f>
        <v>0</v>
      </c>
      <c r="H47" s="24"/>
    </row>
    <row r="48" spans="1:8" s="15" customFormat="1" ht="30" customHeight="1">
      <c r="A48" s="18" t="s">
        <v>12</v>
      </c>
      <c r="B48" s="58">
        <f t="shared" si="2"/>
        <v>0</v>
      </c>
      <c r="C48" s="19" t="s">
        <v>3</v>
      </c>
      <c r="D48" s="71">
        <f t="shared" si="3"/>
        <v>0</v>
      </c>
      <c r="E48" s="58">
        <f>집계표!$E15</f>
        <v>0</v>
      </c>
      <c r="F48" s="19" t="s">
        <v>3</v>
      </c>
      <c r="G48" s="71">
        <f>집계표!$G15</f>
        <v>0</v>
      </c>
      <c r="H48" s="24"/>
    </row>
    <row r="49" spans="1:8" s="15" customFormat="1" ht="30" customHeight="1">
      <c r="A49" s="18" t="s">
        <v>14</v>
      </c>
      <c r="B49" s="58">
        <f t="shared" si="2"/>
        <v>0</v>
      </c>
      <c r="C49" s="19" t="s">
        <v>3</v>
      </c>
      <c r="D49" s="71">
        <f t="shared" si="3"/>
        <v>0</v>
      </c>
      <c r="E49" s="58">
        <f>집계표!$E16</f>
        <v>0</v>
      </c>
      <c r="F49" s="19" t="s">
        <v>3</v>
      </c>
      <c r="G49" s="71">
        <f>집계표!$G16</f>
        <v>0</v>
      </c>
      <c r="H49" s="24"/>
    </row>
    <row r="50" spans="1:8" s="15" customFormat="1" ht="30" customHeight="1">
      <c r="A50" s="18" t="s">
        <v>18</v>
      </c>
      <c r="B50" s="58">
        <f t="shared" si="2"/>
        <v>0</v>
      </c>
      <c r="C50" s="19" t="s">
        <v>3</v>
      </c>
      <c r="D50" s="71">
        <f t="shared" si="3"/>
        <v>0</v>
      </c>
      <c r="E50" s="58">
        <f>집계표!$E17</f>
        <v>0</v>
      </c>
      <c r="F50" s="19" t="s">
        <v>3</v>
      </c>
      <c r="G50" s="71">
        <f>집계표!$G17</f>
        <v>0</v>
      </c>
      <c r="H50" s="24"/>
    </row>
    <row r="51" spans="1:8" s="15" customFormat="1" ht="30" customHeight="1">
      <c r="A51" s="18" t="s">
        <v>16</v>
      </c>
      <c r="B51" s="58">
        <f t="shared" si="2"/>
        <v>0</v>
      </c>
      <c r="C51" s="19" t="s">
        <v>3</v>
      </c>
      <c r="D51" s="71">
        <f t="shared" si="3"/>
        <v>0</v>
      </c>
      <c r="E51" s="58">
        <f>집계표!$E18</f>
        <v>0</v>
      </c>
      <c r="F51" s="19" t="s">
        <v>3</v>
      </c>
      <c r="G51" s="71">
        <f>집계표!$G18</f>
        <v>0</v>
      </c>
      <c r="H51" s="24"/>
    </row>
    <row r="52" spans="1:8" s="15" customFormat="1" ht="30" customHeight="1">
      <c r="A52" s="18" t="s">
        <v>20</v>
      </c>
      <c r="B52" s="58">
        <f t="shared" si="2"/>
        <v>0</v>
      </c>
      <c r="C52" s="19" t="s">
        <v>3</v>
      </c>
      <c r="D52" s="71">
        <f t="shared" si="3"/>
        <v>0</v>
      </c>
      <c r="E52" s="58">
        <f>집계표!$E19</f>
        <v>0</v>
      </c>
      <c r="F52" s="19" t="s">
        <v>3</v>
      </c>
      <c r="G52" s="71">
        <f>집계표!$G19</f>
        <v>0</v>
      </c>
      <c r="H52" s="24"/>
    </row>
    <row r="53" spans="1:8" s="15" customFormat="1" ht="30" customHeight="1">
      <c r="A53" s="18" t="s">
        <v>31</v>
      </c>
      <c r="B53" s="58">
        <f t="shared" si="2"/>
        <v>0</v>
      </c>
      <c r="C53" s="19" t="s">
        <v>3</v>
      </c>
      <c r="D53" s="71">
        <f t="shared" si="3"/>
        <v>0</v>
      </c>
      <c r="E53" s="58">
        <f>집계표!$E20</f>
        <v>0</v>
      </c>
      <c r="F53" s="19" t="s">
        <v>3</v>
      </c>
      <c r="G53" s="71">
        <f>집계표!$G20</f>
        <v>0</v>
      </c>
      <c r="H53" s="24"/>
    </row>
    <row r="54" spans="1:8" s="15" customFormat="1" ht="30" customHeight="1">
      <c r="A54" s="18" t="s">
        <v>15</v>
      </c>
      <c r="B54" s="58">
        <f t="shared" si="2"/>
        <v>1</v>
      </c>
      <c r="C54" s="19" t="s">
        <v>3</v>
      </c>
      <c r="D54" s="71">
        <f t="shared" si="3"/>
        <v>21</v>
      </c>
      <c r="E54" s="58">
        <f>집계표!$E21</f>
        <v>1</v>
      </c>
      <c r="F54" s="19" t="s">
        <v>3</v>
      </c>
      <c r="G54" s="71">
        <f>집계표!$G21</f>
        <v>21</v>
      </c>
      <c r="H54" s="24"/>
    </row>
    <row r="55" spans="1:8" s="15" customFormat="1" ht="30" customHeight="1">
      <c r="A55" s="18" t="s">
        <v>40</v>
      </c>
      <c r="B55" s="58">
        <f t="shared" si="2"/>
        <v>0</v>
      </c>
      <c r="C55" s="19" t="s">
        <v>3</v>
      </c>
      <c r="D55" s="71">
        <f t="shared" si="3"/>
        <v>0</v>
      </c>
      <c r="E55" s="58">
        <f>집계표!$E22</f>
        <v>0</v>
      </c>
      <c r="F55" s="19" t="s">
        <v>3</v>
      </c>
      <c r="G55" s="71">
        <f>집계표!$G22</f>
        <v>0</v>
      </c>
      <c r="H55" s="24"/>
    </row>
    <row r="56" spans="1:8" s="15" customFormat="1" ht="30" customHeight="1">
      <c r="A56" s="18" t="s">
        <v>17</v>
      </c>
      <c r="B56" s="58">
        <f t="shared" si="2"/>
        <v>0</v>
      </c>
      <c r="C56" s="19" t="s">
        <v>3</v>
      </c>
      <c r="D56" s="71">
        <f t="shared" si="3"/>
        <v>0</v>
      </c>
      <c r="E56" s="58">
        <f>집계표!$E23</f>
        <v>0</v>
      </c>
      <c r="F56" s="19" t="s">
        <v>3</v>
      </c>
      <c r="G56" s="71">
        <f>집계표!$G23</f>
        <v>0</v>
      </c>
      <c r="H56" s="24"/>
    </row>
    <row r="57" spans="1:8" s="15" customFormat="1" ht="30" customHeight="1">
      <c r="A57" s="20" t="s">
        <v>32</v>
      </c>
      <c r="B57" s="58">
        <f t="shared" si="2"/>
        <v>0</v>
      </c>
      <c r="C57" s="19" t="s">
        <v>3</v>
      </c>
      <c r="D57" s="71">
        <f t="shared" si="3"/>
        <v>0</v>
      </c>
      <c r="E57" s="58">
        <f>집계표!$E24</f>
        <v>0</v>
      </c>
      <c r="F57" s="19" t="s">
        <v>3</v>
      </c>
      <c r="G57" s="71">
        <f>집계표!$G24</f>
        <v>0</v>
      </c>
      <c r="H57" s="24"/>
    </row>
    <row r="58" spans="1:8" s="15" customFormat="1" ht="30" customHeight="1">
      <c r="A58" s="21" t="s">
        <v>41</v>
      </c>
      <c r="B58" s="58">
        <f t="shared" si="2"/>
        <v>0</v>
      </c>
      <c r="C58" s="19" t="s">
        <v>3</v>
      </c>
      <c r="D58" s="71">
        <f t="shared" si="3"/>
        <v>0</v>
      </c>
      <c r="E58" s="58">
        <f>집계표!$E25</f>
        <v>0</v>
      </c>
      <c r="F58" s="19" t="s">
        <v>3</v>
      </c>
      <c r="G58" s="71">
        <f>집계표!$G25</f>
        <v>0</v>
      </c>
      <c r="H58" s="24"/>
    </row>
    <row r="59" spans="1:8" s="15" customFormat="1" ht="30" customHeight="1">
      <c r="A59" s="21" t="s">
        <v>33</v>
      </c>
      <c r="B59" s="58">
        <f t="shared" si="2"/>
        <v>0</v>
      </c>
      <c r="C59" s="19" t="s">
        <v>3</v>
      </c>
      <c r="D59" s="71">
        <f t="shared" si="3"/>
        <v>0</v>
      </c>
      <c r="E59" s="58">
        <f>집계표!$E26</f>
        <v>0</v>
      </c>
      <c r="F59" s="19" t="s">
        <v>3</v>
      </c>
      <c r="G59" s="71">
        <f>집계표!$G26</f>
        <v>0</v>
      </c>
      <c r="H59" s="24"/>
    </row>
    <row r="60" spans="1:8" s="15" customFormat="1" ht="30" customHeight="1">
      <c r="A60" s="21" t="s">
        <v>34</v>
      </c>
      <c r="B60" s="58">
        <f t="shared" si="2"/>
        <v>0</v>
      </c>
      <c r="C60" s="19" t="s">
        <v>3</v>
      </c>
      <c r="D60" s="71">
        <f t="shared" si="3"/>
        <v>0</v>
      </c>
      <c r="E60" s="58">
        <f>집계표!$E27</f>
        <v>0</v>
      </c>
      <c r="F60" s="19" t="s">
        <v>3</v>
      </c>
      <c r="G60" s="71">
        <f>집계표!$G27</f>
        <v>0</v>
      </c>
      <c r="H60" s="24"/>
    </row>
    <row r="61" spans="1:8" s="15" customFormat="1" ht="30" customHeight="1">
      <c r="A61" s="21" t="s">
        <v>54</v>
      </c>
      <c r="B61" s="58">
        <f t="shared" si="2"/>
        <v>0</v>
      </c>
      <c r="C61" s="19" t="s">
        <v>3</v>
      </c>
      <c r="D61" s="71">
        <f t="shared" si="3"/>
        <v>0</v>
      </c>
      <c r="E61" s="58">
        <f>집계표!$E28</f>
        <v>0</v>
      </c>
      <c r="F61" s="19" t="s">
        <v>3</v>
      </c>
      <c r="G61" s="71">
        <f>집계표!$G28</f>
        <v>0</v>
      </c>
      <c r="H61" s="24"/>
    </row>
    <row r="62" spans="1:8" s="15" customFormat="1" ht="30" customHeight="1">
      <c r="A62" s="21" t="s">
        <v>42</v>
      </c>
      <c r="B62" s="58">
        <f t="shared" si="2"/>
        <v>0</v>
      </c>
      <c r="C62" s="19" t="s">
        <v>3</v>
      </c>
      <c r="D62" s="71">
        <f t="shared" si="3"/>
        <v>0</v>
      </c>
      <c r="E62" s="58">
        <f>집계표!$E29</f>
        <v>0</v>
      </c>
      <c r="F62" s="19" t="s">
        <v>3</v>
      </c>
      <c r="G62" s="71">
        <f>집계표!$G29</f>
        <v>0</v>
      </c>
      <c r="H62" s="24"/>
    </row>
    <row r="63" spans="1:8" s="15" customFormat="1" ht="30" customHeight="1">
      <c r="A63" s="22" t="s">
        <v>43</v>
      </c>
      <c r="B63" s="58">
        <f t="shared" si="2"/>
        <v>0</v>
      </c>
      <c r="C63" s="19" t="s">
        <v>3</v>
      </c>
      <c r="D63" s="71">
        <f t="shared" si="3"/>
        <v>0</v>
      </c>
      <c r="E63" s="58">
        <f>집계표!$E30</f>
        <v>0</v>
      </c>
      <c r="F63" s="19" t="s">
        <v>3</v>
      </c>
      <c r="G63" s="71">
        <f>집계표!$G30</f>
        <v>0</v>
      </c>
      <c r="H63" s="24"/>
    </row>
    <row r="64" spans="1:8" s="15" customFormat="1" ht="30" customHeight="1">
      <c r="A64" s="23" t="s">
        <v>44</v>
      </c>
      <c r="B64" s="58">
        <f t="shared" si="2"/>
        <v>1</v>
      </c>
      <c r="C64" s="19" t="s">
        <v>3</v>
      </c>
      <c r="D64" s="71">
        <f t="shared" si="3"/>
        <v>660039</v>
      </c>
      <c r="E64" s="58">
        <f>집계표!$E31</f>
        <v>1</v>
      </c>
      <c r="F64" s="19" t="s">
        <v>3</v>
      </c>
      <c r="G64" s="71">
        <f>집계표!$G31</f>
        <v>660039</v>
      </c>
      <c r="H64" s="24"/>
    </row>
    <row r="65" spans="1:8" s="9" customFormat="1" ht="30" customHeight="1">
      <c r="A65" s="133" t="s">
        <v>48</v>
      </c>
      <c r="B65" s="133"/>
      <c r="C65" s="133"/>
      <c r="D65" s="133"/>
      <c r="E65" s="133"/>
      <c r="F65" s="133"/>
      <c r="G65" s="133"/>
      <c r="H65" s="133"/>
    </row>
    <row r="66" spans="1:8" ht="15" customHeight="1">
      <c r="A66" s="10"/>
      <c r="B66" s="11"/>
      <c r="C66" s="11"/>
      <c r="D66" s="49"/>
      <c r="E66" s="12"/>
      <c r="F66" s="11"/>
      <c r="G66" s="52"/>
      <c r="H66" s="13"/>
    </row>
    <row r="67" spans="1:8" s="15" customFormat="1" ht="30" customHeight="1">
      <c r="A67" s="134" t="s">
        <v>39</v>
      </c>
      <c r="B67" s="137" t="s">
        <v>46</v>
      </c>
      <c r="C67" s="138"/>
      <c r="D67" s="138"/>
      <c r="E67" s="131" t="s">
        <v>64</v>
      </c>
      <c r="F67" s="131"/>
      <c r="G67" s="131"/>
      <c r="H67" s="145" t="s">
        <v>52</v>
      </c>
    </row>
    <row r="68" spans="1:8" s="15" customFormat="1" ht="30" customHeight="1">
      <c r="A68" s="135"/>
      <c r="B68" s="139"/>
      <c r="C68" s="140"/>
      <c r="D68" s="141"/>
      <c r="E68" s="131" t="s">
        <v>65</v>
      </c>
      <c r="F68" s="131"/>
      <c r="G68" s="131"/>
      <c r="H68" s="146"/>
    </row>
    <row r="69" spans="1:8" s="15" customFormat="1" ht="30" customHeight="1">
      <c r="A69" s="135"/>
      <c r="B69" s="142"/>
      <c r="C69" s="143"/>
      <c r="D69" s="144"/>
      <c r="E69" s="132" t="s">
        <v>63</v>
      </c>
      <c r="F69" s="132"/>
      <c r="G69" s="132"/>
      <c r="H69" s="146"/>
    </row>
    <row r="70" spans="1:8" s="15" customFormat="1" ht="30" customHeight="1">
      <c r="A70" s="136"/>
      <c r="B70" s="16" t="s">
        <v>2</v>
      </c>
      <c r="C70" s="17" t="s">
        <v>3</v>
      </c>
      <c r="D70" s="50" t="s">
        <v>4</v>
      </c>
      <c r="E70" s="16" t="s">
        <v>2</v>
      </c>
      <c r="F70" s="17" t="s">
        <v>3</v>
      </c>
      <c r="G70" s="59" t="s">
        <v>4</v>
      </c>
      <c r="H70" s="147"/>
    </row>
    <row r="71" spans="1:8" s="66" customFormat="1" ht="30" customHeight="1">
      <c r="A71" s="62" t="s">
        <v>1</v>
      </c>
      <c r="B71" s="63">
        <f>SUM(B72:B96)</f>
        <v>12</v>
      </c>
      <c r="C71" s="64" t="s">
        <v>3</v>
      </c>
      <c r="D71" s="70">
        <f>SUM(D72:D96)</f>
        <v>2572</v>
      </c>
      <c r="E71" s="63">
        <f>SUM(E72:E96)</f>
        <v>12</v>
      </c>
      <c r="F71" s="64" t="s">
        <v>3</v>
      </c>
      <c r="G71" s="70">
        <f>SUM(G72:G96)</f>
        <v>2572</v>
      </c>
      <c r="H71" s="65"/>
    </row>
    <row r="72" spans="1:8" s="15" customFormat="1" ht="30" customHeight="1">
      <c r="A72" s="18" t="s">
        <v>5</v>
      </c>
      <c r="B72" s="58">
        <f t="shared" ref="B72:B96" si="4">E72</f>
        <v>0</v>
      </c>
      <c r="C72" s="19" t="s">
        <v>3</v>
      </c>
      <c r="D72" s="71">
        <f t="shared" ref="D72:D96" si="5">G72</f>
        <v>0</v>
      </c>
      <c r="E72" s="58">
        <f>집계표!$H7</f>
        <v>0</v>
      </c>
      <c r="F72" s="19" t="s">
        <v>3</v>
      </c>
      <c r="G72" s="71">
        <f>집계표!$J7</f>
        <v>0</v>
      </c>
      <c r="H72" s="24"/>
    </row>
    <row r="73" spans="1:8" s="15" customFormat="1" ht="30" customHeight="1">
      <c r="A73" s="18" t="s">
        <v>6</v>
      </c>
      <c r="B73" s="58">
        <f t="shared" si="4"/>
        <v>0</v>
      </c>
      <c r="C73" s="19" t="s">
        <v>3</v>
      </c>
      <c r="D73" s="71">
        <f t="shared" si="5"/>
        <v>0</v>
      </c>
      <c r="E73" s="58">
        <f>집계표!$H8</f>
        <v>0</v>
      </c>
      <c r="F73" s="19" t="s">
        <v>3</v>
      </c>
      <c r="G73" s="71">
        <f>집계표!$J8</f>
        <v>0</v>
      </c>
      <c r="H73" s="24"/>
    </row>
    <row r="74" spans="1:8" s="15" customFormat="1" ht="30" customHeight="1">
      <c r="A74" s="18" t="s">
        <v>7</v>
      </c>
      <c r="B74" s="58">
        <f t="shared" si="4"/>
        <v>0</v>
      </c>
      <c r="C74" s="19" t="s">
        <v>3</v>
      </c>
      <c r="D74" s="71">
        <f t="shared" si="5"/>
        <v>0</v>
      </c>
      <c r="E74" s="58">
        <f>집계표!$H9</f>
        <v>0</v>
      </c>
      <c r="F74" s="19" t="s">
        <v>3</v>
      </c>
      <c r="G74" s="71">
        <f>집계표!$J9</f>
        <v>0</v>
      </c>
      <c r="H74" s="24"/>
    </row>
    <row r="75" spans="1:8" s="15" customFormat="1" ht="30" customHeight="1">
      <c r="A75" s="18" t="s">
        <v>8</v>
      </c>
      <c r="B75" s="58">
        <f t="shared" si="4"/>
        <v>0</v>
      </c>
      <c r="C75" s="19" t="s">
        <v>3</v>
      </c>
      <c r="D75" s="71">
        <f t="shared" si="5"/>
        <v>0</v>
      </c>
      <c r="E75" s="58">
        <f>집계표!$H10</f>
        <v>0</v>
      </c>
      <c r="F75" s="19" t="s">
        <v>3</v>
      </c>
      <c r="G75" s="71">
        <f>집계표!$J10</f>
        <v>0</v>
      </c>
      <c r="H75" s="24"/>
    </row>
    <row r="76" spans="1:8" s="15" customFormat="1" ht="30" customHeight="1">
      <c r="A76" s="18" t="s">
        <v>9</v>
      </c>
      <c r="B76" s="58">
        <f t="shared" si="4"/>
        <v>12</v>
      </c>
      <c r="C76" s="19" t="s">
        <v>3</v>
      </c>
      <c r="D76" s="71">
        <f t="shared" si="5"/>
        <v>2572</v>
      </c>
      <c r="E76" s="58">
        <f>집계표!$H11</f>
        <v>12</v>
      </c>
      <c r="F76" s="19" t="s">
        <v>3</v>
      </c>
      <c r="G76" s="71">
        <f>집계표!$J11</f>
        <v>2572</v>
      </c>
      <c r="H76" s="24"/>
    </row>
    <row r="77" spans="1:8" s="15" customFormat="1" ht="30" customHeight="1">
      <c r="A77" s="18" t="s">
        <v>11</v>
      </c>
      <c r="B77" s="58">
        <f t="shared" si="4"/>
        <v>0</v>
      </c>
      <c r="C77" s="19" t="s">
        <v>3</v>
      </c>
      <c r="D77" s="71">
        <f t="shared" si="5"/>
        <v>0</v>
      </c>
      <c r="E77" s="58">
        <f>집계표!$H12</f>
        <v>0</v>
      </c>
      <c r="F77" s="19" t="s">
        <v>3</v>
      </c>
      <c r="G77" s="71">
        <f>집계표!$J12</f>
        <v>0</v>
      </c>
      <c r="H77" s="24"/>
    </row>
    <row r="78" spans="1:8" s="15" customFormat="1" ht="30" customHeight="1">
      <c r="A78" s="18" t="s">
        <v>10</v>
      </c>
      <c r="B78" s="58">
        <f t="shared" si="4"/>
        <v>0</v>
      </c>
      <c r="C78" s="19" t="s">
        <v>3</v>
      </c>
      <c r="D78" s="71">
        <f t="shared" si="5"/>
        <v>0</v>
      </c>
      <c r="E78" s="58">
        <f>집계표!$H13</f>
        <v>0</v>
      </c>
      <c r="F78" s="19" t="s">
        <v>3</v>
      </c>
      <c r="G78" s="71">
        <f>집계표!$J13</f>
        <v>0</v>
      </c>
      <c r="H78" s="24"/>
    </row>
    <row r="79" spans="1:8" s="15" customFormat="1" ht="30" customHeight="1">
      <c r="A79" s="18" t="s">
        <v>13</v>
      </c>
      <c r="B79" s="58">
        <f t="shared" si="4"/>
        <v>0</v>
      </c>
      <c r="C79" s="19" t="s">
        <v>3</v>
      </c>
      <c r="D79" s="71">
        <f t="shared" si="5"/>
        <v>0</v>
      </c>
      <c r="E79" s="58">
        <f>집계표!$H14</f>
        <v>0</v>
      </c>
      <c r="F79" s="19" t="s">
        <v>3</v>
      </c>
      <c r="G79" s="71">
        <f>집계표!$J14</f>
        <v>0</v>
      </c>
      <c r="H79" s="24"/>
    </row>
    <row r="80" spans="1:8" s="15" customFormat="1" ht="30" customHeight="1">
      <c r="A80" s="18" t="s">
        <v>12</v>
      </c>
      <c r="B80" s="58">
        <f t="shared" si="4"/>
        <v>0</v>
      </c>
      <c r="C80" s="19" t="s">
        <v>3</v>
      </c>
      <c r="D80" s="71">
        <f t="shared" si="5"/>
        <v>0</v>
      </c>
      <c r="E80" s="58">
        <f>집계표!$H15</f>
        <v>0</v>
      </c>
      <c r="F80" s="19" t="s">
        <v>3</v>
      </c>
      <c r="G80" s="71">
        <f>집계표!$J15</f>
        <v>0</v>
      </c>
      <c r="H80" s="24"/>
    </row>
    <row r="81" spans="1:8" s="15" customFormat="1" ht="30" customHeight="1">
      <c r="A81" s="18" t="s">
        <v>14</v>
      </c>
      <c r="B81" s="58">
        <f t="shared" si="4"/>
        <v>0</v>
      </c>
      <c r="C81" s="19" t="s">
        <v>3</v>
      </c>
      <c r="D81" s="71">
        <f t="shared" si="5"/>
        <v>0</v>
      </c>
      <c r="E81" s="58">
        <f>집계표!$H16</f>
        <v>0</v>
      </c>
      <c r="F81" s="19" t="s">
        <v>3</v>
      </c>
      <c r="G81" s="71">
        <f>집계표!$J16</f>
        <v>0</v>
      </c>
      <c r="H81" s="24"/>
    </row>
    <row r="82" spans="1:8" s="15" customFormat="1" ht="30" customHeight="1">
      <c r="A82" s="18" t="s">
        <v>18</v>
      </c>
      <c r="B82" s="58">
        <f t="shared" si="4"/>
        <v>0</v>
      </c>
      <c r="C82" s="19" t="s">
        <v>3</v>
      </c>
      <c r="D82" s="71">
        <f t="shared" si="5"/>
        <v>0</v>
      </c>
      <c r="E82" s="58">
        <f>집계표!$H17</f>
        <v>0</v>
      </c>
      <c r="F82" s="19" t="s">
        <v>3</v>
      </c>
      <c r="G82" s="71">
        <f>집계표!$J17</f>
        <v>0</v>
      </c>
      <c r="H82" s="24"/>
    </row>
    <row r="83" spans="1:8" s="15" customFormat="1" ht="30" customHeight="1">
      <c r="A83" s="18" t="s">
        <v>16</v>
      </c>
      <c r="B83" s="58">
        <f t="shared" si="4"/>
        <v>0</v>
      </c>
      <c r="C83" s="19" t="s">
        <v>3</v>
      </c>
      <c r="D83" s="71">
        <f t="shared" si="5"/>
        <v>0</v>
      </c>
      <c r="E83" s="58">
        <f>집계표!$H18</f>
        <v>0</v>
      </c>
      <c r="F83" s="19" t="s">
        <v>3</v>
      </c>
      <c r="G83" s="71">
        <f>집계표!$J18</f>
        <v>0</v>
      </c>
      <c r="H83" s="24"/>
    </row>
    <row r="84" spans="1:8" s="15" customFormat="1" ht="30" customHeight="1">
      <c r="A84" s="18" t="s">
        <v>20</v>
      </c>
      <c r="B84" s="58">
        <f t="shared" si="4"/>
        <v>0</v>
      </c>
      <c r="C84" s="19" t="s">
        <v>3</v>
      </c>
      <c r="D84" s="71">
        <f t="shared" si="5"/>
        <v>0</v>
      </c>
      <c r="E84" s="58">
        <f>집계표!$H19</f>
        <v>0</v>
      </c>
      <c r="F84" s="19" t="s">
        <v>3</v>
      </c>
      <c r="G84" s="71">
        <f>집계표!$J19</f>
        <v>0</v>
      </c>
      <c r="H84" s="24"/>
    </row>
    <row r="85" spans="1:8" s="15" customFormat="1" ht="30" customHeight="1">
      <c r="A85" s="18" t="s">
        <v>31</v>
      </c>
      <c r="B85" s="58">
        <f t="shared" si="4"/>
        <v>0</v>
      </c>
      <c r="C85" s="19" t="s">
        <v>3</v>
      </c>
      <c r="D85" s="71">
        <f t="shared" si="5"/>
        <v>0</v>
      </c>
      <c r="E85" s="58">
        <f>집계표!$H20</f>
        <v>0</v>
      </c>
      <c r="F85" s="19" t="s">
        <v>3</v>
      </c>
      <c r="G85" s="71">
        <f>집계표!$J20</f>
        <v>0</v>
      </c>
      <c r="H85" s="24"/>
    </row>
    <row r="86" spans="1:8" s="15" customFormat="1" ht="30" customHeight="1">
      <c r="A86" s="18" t="s">
        <v>15</v>
      </c>
      <c r="B86" s="58">
        <f t="shared" si="4"/>
        <v>0</v>
      </c>
      <c r="C86" s="19" t="s">
        <v>3</v>
      </c>
      <c r="D86" s="71">
        <f t="shared" si="5"/>
        <v>0</v>
      </c>
      <c r="E86" s="58">
        <f>집계표!$H21</f>
        <v>0</v>
      </c>
      <c r="F86" s="19" t="s">
        <v>3</v>
      </c>
      <c r="G86" s="71">
        <f>집계표!$J21</f>
        <v>0</v>
      </c>
      <c r="H86" s="24"/>
    </row>
    <row r="87" spans="1:8" s="15" customFormat="1" ht="30" customHeight="1">
      <c r="A87" s="18" t="s">
        <v>40</v>
      </c>
      <c r="B87" s="58">
        <f t="shared" si="4"/>
        <v>0</v>
      </c>
      <c r="C87" s="19" t="s">
        <v>3</v>
      </c>
      <c r="D87" s="71">
        <f t="shared" si="5"/>
        <v>0</v>
      </c>
      <c r="E87" s="58">
        <f>집계표!$H22</f>
        <v>0</v>
      </c>
      <c r="F87" s="19" t="s">
        <v>3</v>
      </c>
      <c r="G87" s="71">
        <f>집계표!$J22</f>
        <v>0</v>
      </c>
      <c r="H87" s="24"/>
    </row>
    <row r="88" spans="1:8" s="15" customFormat="1" ht="30" customHeight="1">
      <c r="A88" s="18" t="s">
        <v>17</v>
      </c>
      <c r="B88" s="58">
        <f t="shared" si="4"/>
        <v>0</v>
      </c>
      <c r="C88" s="19" t="s">
        <v>3</v>
      </c>
      <c r="D88" s="71">
        <f t="shared" si="5"/>
        <v>0</v>
      </c>
      <c r="E88" s="58">
        <f>집계표!$H23</f>
        <v>0</v>
      </c>
      <c r="F88" s="19" t="s">
        <v>3</v>
      </c>
      <c r="G88" s="71">
        <f>집계표!$J23</f>
        <v>0</v>
      </c>
      <c r="H88" s="24"/>
    </row>
    <row r="89" spans="1:8" s="15" customFormat="1" ht="30" customHeight="1">
      <c r="A89" s="20" t="s">
        <v>32</v>
      </c>
      <c r="B89" s="58">
        <f t="shared" si="4"/>
        <v>0</v>
      </c>
      <c r="C89" s="19" t="s">
        <v>3</v>
      </c>
      <c r="D89" s="71">
        <f t="shared" si="5"/>
        <v>0</v>
      </c>
      <c r="E89" s="58">
        <f>집계표!$H24</f>
        <v>0</v>
      </c>
      <c r="F89" s="19" t="s">
        <v>3</v>
      </c>
      <c r="G89" s="71">
        <f>집계표!$J24</f>
        <v>0</v>
      </c>
      <c r="H89" s="24"/>
    </row>
    <row r="90" spans="1:8" s="15" customFormat="1" ht="30" customHeight="1">
      <c r="A90" s="21" t="s">
        <v>41</v>
      </c>
      <c r="B90" s="58">
        <f t="shared" si="4"/>
        <v>0</v>
      </c>
      <c r="C90" s="19" t="s">
        <v>3</v>
      </c>
      <c r="D90" s="71">
        <f t="shared" si="5"/>
        <v>0</v>
      </c>
      <c r="E90" s="58">
        <f>집계표!$H25</f>
        <v>0</v>
      </c>
      <c r="F90" s="19" t="s">
        <v>3</v>
      </c>
      <c r="G90" s="71">
        <f>집계표!$J25</f>
        <v>0</v>
      </c>
      <c r="H90" s="24"/>
    </row>
    <row r="91" spans="1:8" s="15" customFormat="1" ht="30" customHeight="1">
      <c r="A91" s="21" t="s">
        <v>33</v>
      </c>
      <c r="B91" s="58">
        <f t="shared" si="4"/>
        <v>0</v>
      </c>
      <c r="C91" s="19" t="s">
        <v>3</v>
      </c>
      <c r="D91" s="71">
        <f t="shared" si="5"/>
        <v>0</v>
      </c>
      <c r="E91" s="58">
        <f>집계표!$H26</f>
        <v>0</v>
      </c>
      <c r="F91" s="19" t="s">
        <v>3</v>
      </c>
      <c r="G91" s="71">
        <f>집계표!$J26</f>
        <v>0</v>
      </c>
      <c r="H91" s="24"/>
    </row>
    <row r="92" spans="1:8" s="15" customFormat="1" ht="30" customHeight="1">
      <c r="A92" s="21" t="s">
        <v>34</v>
      </c>
      <c r="B92" s="58">
        <f t="shared" si="4"/>
        <v>0</v>
      </c>
      <c r="C92" s="19" t="s">
        <v>3</v>
      </c>
      <c r="D92" s="71">
        <f t="shared" si="5"/>
        <v>0</v>
      </c>
      <c r="E92" s="58">
        <f>집계표!$H27</f>
        <v>0</v>
      </c>
      <c r="F92" s="19" t="s">
        <v>3</v>
      </c>
      <c r="G92" s="71">
        <f>집계표!$J27</f>
        <v>0</v>
      </c>
      <c r="H92" s="24"/>
    </row>
    <row r="93" spans="1:8" s="15" customFormat="1" ht="30" customHeight="1">
      <c r="A93" s="21" t="s">
        <v>54</v>
      </c>
      <c r="B93" s="58">
        <f t="shared" si="4"/>
        <v>0</v>
      </c>
      <c r="C93" s="19" t="s">
        <v>3</v>
      </c>
      <c r="D93" s="71">
        <f t="shared" si="5"/>
        <v>0</v>
      </c>
      <c r="E93" s="58">
        <f>집계표!$H28</f>
        <v>0</v>
      </c>
      <c r="F93" s="19" t="s">
        <v>3</v>
      </c>
      <c r="G93" s="71">
        <f>집계표!$J28</f>
        <v>0</v>
      </c>
      <c r="H93" s="24"/>
    </row>
    <row r="94" spans="1:8" s="15" customFormat="1" ht="30" customHeight="1">
      <c r="A94" s="21" t="s">
        <v>42</v>
      </c>
      <c r="B94" s="58">
        <f t="shared" si="4"/>
        <v>0</v>
      </c>
      <c r="C94" s="19" t="s">
        <v>3</v>
      </c>
      <c r="D94" s="71">
        <f t="shared" si="5"/>
        <v>0</v>
      </c>
      <c r="E94" s="58">
        <f>집계표!$H29</f>
        <v>0</v>
      </c>
      <c r="F94" s="19" t="s">
        <v>3</v>
      </c>
      <c r="G94" s="71">
        <f>집계표!$J29</f>
        <v>0</v>
      </c>
      <c r="H94" s="24"/>
    </row>
    <row r="95" spans="1:8" s="15" customFormat="1" ht="30" customHeight="1">
      <c r="A95" s="22" t="s">
        <v>43</v>
      </c>
      <c r="B95" s="58">
        <f t="shared" si="4"/>
        <v>0</v>
      </c>
      <c r="C95" s="19" t="s">
        <v>3</v>
      </c>
      <c r="D95" s="71">
        <f t="shared" si="5"/>
        <v>0</v>
      </c>
      <c r="E95" s="58">
        <f>집계표!$H30</f>
        <v>0</v>
      </c>
      <c r="F95" s="19" t="s">
        <v>3</v>
      </c>
      <c r="G95" s="71">
        <f>집계표!$J30</f>
        <v>0</v>
      </c>
      <c r="H95" s="24"/>
    </row>
    <row r="96" spans="1:8" s="15" customFormat="1" ht="30" customHeight="1">
      <c r="A96" s="23" t="s">
        <v>44</v>
      </c>
      <c r="B96" s="58">
        <f t="shared" si="4"/>
        <v>0</v>
      </c>
      <c r="C96" s="19" t="s">
        <v>3</v>
      </c>
      <c r="D96" s="71">
        <f t="shared" si="5"/>
        <v>0</v>
      </c>
      <c r="E96" s="58">
        <f>집계표!$H31</f>
        <v>0</v>
      </c>
      <c r="F96" s="19" t="s">
        <v>3</v>
      </c>
      <c r="G96" s="71">
        <f>집계표!$J31</f>
        <v>0</v>
      </c>
      <c r="H96" s="24"/>
    </row>
    <row r="97" spans="1:8" s="11" customFormat="1" ht="30" customHeight="1">
      <c r="A97" s="133" t="s">
        <v>51</v>
      </c>
      <c r="B97" s="133"/>
      <c r="C97" s="133"/>
      <c r="D97" s="133"/>
      <c r="E97" s="133"/>
      <c r="F97" s="133"/>
      <c r="G97" s="133"/>
      <c r="H97" s="133"/>
    </row>
    <row r="98" spans="1:8" ht="15" customHeight="1">
      <c r="A98" s="10"/>
      <c r="B98" s="11"/>
      <c r="C98" s="11"/>
      <c r="D98" s="49"/>
      <c r="E98" s="12"/>
      <c r="F98" s="11"/>
      <c r="G98" s="52"/>
      <c r="H98" s="13"/>
    </row>
    <row r="99" spans="1:8" s="15" customFormat="1" ht="30" customHeight="1">
      <c r="A99" s="134" t="s">
        <v>39</v>
      </c>
      <c r="B99" s="137" t="s">
        <v>46</v>
      </c>
      <c r="C99" s="138"/>
      <c r="D99" s="138"/>
      <c r="E99" s="131" t="s">
        <v>64</v>
      </c>
      <c r="F99" s="131"/>
      <c r="G99" s="131"/>
      <c r="H99" s="145" t="s">
        <v>52</v>
      </c>
    </row>
    <row r="100" spans="1:8" s="15" customFormat="1" ht="30" customHeight="1">
      <c r="A100" s="135"/>
      <c r="B100" s="139"/>
      <c r="C100" s="140"/>
      <c r="D100" s="141"/>
      <c r="E100" s="131" t="s">
        <v>65</v>
      </c>
      <c r="F100" s="131"/>
      <c r="G100" s="131"/>
      <c r="H100" s="146"/>
    </row>
    <row r="101" spans="1:8" s="15" customFormat="1" ht="30" customHeight="1">
      <c r="A101" s="135"/>
      <c r="B101" s="139"/>
      <c r="C101" s="140"/>
      <c r="D101" s="141"/>
      <c r="E101" s="132" t="s">
        <v>63</v>
      </c>
      <c r="F101" s="132"/>
      <c r="G101" s="132"/>
      <c r="H101" s="146"/>
    </row>
    <row r="102" spans="1:8" s="15" customFormat="1" ht="30" customHeight="1">
      <c r="A102" s="135"/>
      <c r="B102" s="142"/>
      <c r="C102" s="143"/>
      <c r="D102" s="144"/>
      <c r="E102" s="132" t="s">
        <v>57</v>
      </c>
      <c r="F102" s="132"/>
      <c r="G102" s="132"/>
      <c r="H102" s="146"/>
    </row>
    <row r="103" spans="1:8" s="15" customFormat="1" ht="30" customHeight="1">
      <c r="A103" s="136"/>
      <c r="B103" s="16" t="s">
        <v>2</v>
      </c>
      <c r="C103" s="17" t="s">
        <v>3</v>
      </c>
      <c r="D103" s="50" t="s">
        <v>4</v>
      </c>
      <c r="E103" s="16" t="s">
        <v>2</v>
      </c>
      <c r="F103" s="17" t="s">
        <v>3</v>
      </c>
      <c r="G103" s="59" t="s">
        <v>4</v>
      </c>
      <c r="H103" s="147"/>
    </row>
    <row r="104" spans="1:8" s="66" customFormat="1" ht="30" customHeight="1">
      <c r="A104" s="62" t="s">
        <v>1</v>
      </c>
      <c r="B104" s="63">
        <f>SUM(B105:B129)</f>
        <v>18</v>
      </c>
      <c r="C104" s="64" t="s">
        <v>3</v>
      </c>
      <c r="D104" s="70">
        <f>SUM(D105:D129)</f>
        <v>8605</v>
      </c>
      <c r="E104" s="63">
        <f>SUM(E105:E129)</f>
        <v>18</v>
      </c>
      <c r="F104" s="64" t="s">
        <v>3</v>
      </c>
      <c r="G104" s="70">
        <f>SUM(G105:G129)</f>
        <v>8605</v>
      </c>
      <c r="H104" s="67"/>
    </row>
    <row r="105" spans="1:8" s="15" customFormat="1" ht="30" customHeight="1">
      <c r="A105" s="18" t="s">
        <v>5</v>
      </c>
      <c r="B105" s="58">
        <f t="shared" ref="B105:B129" si="6">E105</f>
        <v>3</v>
      </c>
      <c r="C105" s="19" t="s">
        <v>3</v>
      </c>
      <c r="D105" s="71">
        <f t="shared" ref="D105:D129" si="7">G105</f>
        <v>709</v>
      </c>
      <c r="E105" s="58">
        <f>집계표!$K7</f>
        <v>3</v>
      </c>
      <c r="F105" s="19" t="s">
        <v>3</v>
      </c>
      <c r="G105" s="71">
        <f>집계표!$M7</f>
        <v>709</v>
      </c>
      <c r="H105" s="24"/>
    </row>
    <row r="106" spans="1:8" s="15" customFormat="1" ht="30" customHeight="1">
      <c r="A106" s="18" t="s">
        <v>6</v>
      </c>
      <c r="B106" s="58">
        <f t="shared" si="6"/>
        <v>6</v>
      </c>
      <c r="C106" s="19" t="s">
        <v>3</v>
      </c>
      <c r="D106" s="71">
        <f t="shared" si="7"/>
        <v>7097</v>
      </c>
      <c r="E106" s="58">
        <f>집계표!$K8</f>
        <v>6</v>
      </c>
      <c r="F106" s="19" t="s">
        <v>3</v>
      </c>
      <c r="G106" s="71">
        <f>집계표!$M8</f>
        <v>7097</v>
      </c>
      <c r="H106" s="24"/>
    </row>
    <row r="107" spans="1:8" s="15" customFormat="1" ht="30" customHeight="1">
      <c r="A107" s="18" t="s">
        <v>7</v>
      </c>
      <c r="B107" s="58">
        <f t="shared" si="6"/>
        <v>5</v>
      </c>
      <c r="C107" s="19" t="s">
        <v>3</v>
      </c>
      <c r="D107" s="71">
        <f t="shared" si="7"/>
        <v>518</v>
      </c>
      <c r="E107" s="58">
        <f>집계표!$K9</f>
        <v>5</v>
      </c>
      <c r="F107" s="19" t="s">
        <v>3</v>
      </c>
      <c r="G107" s="71">
        <f>집계표!$M9</f>
        <v>518</v>
      </c>
      <c r="H107" s="24"/>
    </row>
    <row r="108" spans="1:8" s="15" customFormat="1" ht="30" customHeight="1">
      <c r="A108" s="18" t="s">
        <v>8</v>
      </c>
      <c r="B108" s="58">
        <f t="shared" si="6"/>
        <v>0</v>
      </c>
      <c r="C108" s="19" t="s">
        <v>3</v>
      </c>
      <c r="D108" s="71">
        <f t="shared" si="7"/>
        <v>0</v>
      </c>
      <c r="E108" s="58">
        <f>집계표!$K10</f>
        <v>0</v>
      </c>
      <c r="F108" s="19" t="s">
        <v>3</v>
      </c>
      <c r="G108" s="71">
        <f>집계표!$M10</f>
        <v>0</v>
      </c>
      <c r="H108" s="24"/>
    </row>
    <row r="109" spans="1:8" s="15" customFormat="1" ht="30" customHeight="1">
      <c r="A109" s="18" t="s">
        <v>9</v>
      </c>
      <c r="B109" s="58">
        <f t="shared" si="6"/>
        <v>3</v>
      </c>
      <c r="C109" s="19" t="s">
        <v>3</v>
      </c>
      <c r="D109" s="71">
        <f t="shared" si="7"/>
        <v>220</v>
      </c>
      <c r="E109" s="58">
        <f>집계표!$K11</f>
        <v>3</v>
      </c>
      <c r="F109" s="19" t="s">
        <v>3</v>
      </c>
      <c r="G109" s="71">
        <f>집계표!$M11</f>
        <v>220</v>
      </c>
      <c r="H109" s="24"/>
    </row>
    <row r="110" spans="1:8" s="15" customFormat="1" ht="30" customHeight="1">
      <c r="A110" s="18" t="s">
        <v>11</v>
      </c>
      <c r="B110" s="58">
        <f t="shared" si="6"/>
        <v>0</v>
      </c>
      <c r="C110" s="19" t="s">
        <v>3</v>
      </c>
      <c r="D110" s="71">
        <f t="shared" si="7"/>
        <v>0</v>
      </c>
      <c r="E110" s="58">
        <f>집계표!$K12</f>
        <v>0</v>
      </c>
      <c r="F110" s="19" t="s">
        <v>3</v>
      </c>
      <c r="G110" s="71">
        <f>집계표!$M12</f>
        <v>0</v>
      </c>
      <c r="H110" s="24"/>
    </row>
    <row r="111" spans="1:8" s="15" customFormat="1" ht="30" customHeight="1">
      <c r="A111" s="18" t="s">
        <v>10</v>
      </c>
      <c r="B111" s="58">
        <f t="shared" si="6"/>
        <v>0</v>
      </c>
      <c r="C111" s="19" t="s">
        <v>3</v>
      </c>
      <c r="D111" s="71">
        <f t="shared" si="7"/>
        <v>0</v>
      </c>
      <c r="E111" s="58">
        <f>집계표!$K13</f>
        <v>0</v>
      </c>
      <c r="F111" s="19" t="s">
        <v>3</v>
      </c>
      <c r="G111" s="71">
        <f>집계표!$M13</f>
        <v>0</v>
      </c>
      <c r="H111" s="24"/>
    </row>
    <row r="112" spans="1:8" s="15" customFormat="1" ht="30" customHeight="1">
      <c r="A112" s="18" t="s">
        <v>13</v>
      </c>
      <c r="B112" s="58">
        <f t="shared" si="6"/>
        <v>0</v>
      </c>
      <c r="C112" s="19" t="s">
        <v>3</v>
      </c>
      <c r="D112" s="71">
        <f t="shared" si="7"/>
        <v>0</v>
      </c>
      <c r="E112" s="58">
        <f>집계표!$K14</f>
        <v>0</v>
      </c>
      <c r="F112" s="19" t="s">
        <v>3</v>
      </c>
      <c r="G112" s="71">
        <f>집계표!$M14</f>
        <v>0</v>
      </c>
      <c r="H112" s="24"/>
    </row>
    <row r="113" spans="1:8" s="15" customFormat="1" ht="30" customHeight="1">
      <c r="A113" s="18" t="s">
        <v>12</v>
      </c>
      <c r="B113" s="58">
        <f t="shared" si="6"/>
        <v>0</v>
      </c>
      <c r="C113" s="19" t="s">
        <v>3</v>
      </c>
      <c r="D113" s="71">
        <f t="shared" si="7"/>
        <v>0</v>
      </c>
      <c r="E113" s="58">
        <f>집계표!$K15</f>
        <v>0</v>
      </c>
      <c r="F113" s="19" t="s">
        <v>3</v>
      </c>
      <c r="G113" s="71">
        <f>집계표!$M15</f>
        <v>0</v>
      </c>
      <c r="H113" s="24"/>
    </row>
    <row r="114" spans="1:8" s="15" customFormat="1" ht="30" customHeight="1">
      <c r="A114" s="18" t="s">
        <v>14</v>
      </c>
      <c r="B114" s="58">
        <f t="shared" si="6"/>
        <v>0</v>
      </c>
      <c r="C114" s="19" t="s">
        <v>3</v>
      </c>
      <c r="D114" s="71">
        <f t="shared" si="7"/>
        <v>0</v>
      </c>
      <c r="E114" s="58">
        <f>집계표!$K16</f>
        <v>0</v>
      </c>
      <c r="F114" s="19" t="s">
        <v>3</v>
      </c>
      <c r="G114" s="71">
        <f>집계표!$M16</f>
        <v>0</v>
      </c>
      <c r="H114" s="24"/>
    </row>
    <row r="115" spans="1:8" s="15" customFormat="1" ht="30" customHeight="1">
      <c r="A115" s="18" t="s">
        <v>18</v>
      </c>
      <c r="B115" s="58">
        <f t="shared" si="6"/>
        <v>0</v>
      </c>
      <c r="C115" s="19" t="s">
        <v>3</v>
      </c>
      <c r="D115" s="71">
        <f t="shared" si="7"/>
        <v>0</v>
      </c>
      <c r="E115" s="58">
        <f>집계표!$K17</f>
        <v>0</v>
      </c>
      <c r="F115" s="19" t="s">
        <v>3</v>
      </c>
      <c r="G115" s="71">
        <f>집계표!$M17</f>
        <v>0</v>
      </c>
      <c r="H115" s="24"/>
    </row>
    <row r="116" spans="1:8" s="15" customFormat="1" ht="30" customHeight="1">
      <c r="A116" s="18" t="s">
        <v>16</v>
      </c>
      <c r="B116" s="58">
        <f t="shared" si="6"/>
        <v>0</v>
      </c>
      <c r="C116" s="19" t="s">
        <v>3</v>
      </c>
      <c r="D116" s="71">
        <f t="shared" si="7"/>
        <v>0</v>
      </c>
      <c r="E116" s="58">
        <f>집계표!$K18</f>
        <v>0</v>
      </c>
      <c r="F116" s="19" t="s">
        <v>3</v>
      </c>
      <c r="G116" s="71">
        <f>집계표!$M18</f>
        <v>0</v>
      </c>
      <c r="H116" s="24"/>
    </row>
    <row r="117" spans="1:8" s="15" customFormat="1" ht="30" customHeight="1">
      <c r="A117" s="18" t="s">
        <v>20</v>
      </c>
      <c r="B117" s="58">
        <f t="shared" si="6"/>
        <v>0</v>
      </c>
      <c r="C117" s="19" t="s">
        <v>3</v>
      </c>
      <c r="D117" s="71">
        <f t="shared" si="7"/>
        <v>0</v>
      </c>
      <c r="E117" s="58">
        <f>집계표!$K19</f>
        <v>0</v>
      </c>
      <c r="F117" s="19" t="s">
        <v>3</v>
      </c>
      <c r="G117" s="71">
        <f>집계표!$M19</f>
        <v>0</v>
      </c>
      <c r="H117" s="24"/>
    </row>
    <row r="118" spans="1:8" s="15" customFormat="1" ht="30" customHeight="1">
      <c r="A118" s="18" t="s">
        <v>31</v>
      </c>
      <c r="B118" s="58">
        <f t="shared" si="6"/>
        <v>0</v>
      </c>
      <c r="C118" s="19" t="s">
        <v>3</v>
      </c>
      <c r="D118" s="71">
        <f t="shared" si="7"/>
        <v>0</v>
      </c>
      <c r="E118" s="58">
        <f>집계표!$K20</f>
        <v>0</v>
      </c>
      <c r="F118" s="19" t="s">
        <v>3</v>
      </c>
      <c r="G118" s="71">
        <f>집계표!$M20</f>
        <v>0</v>
      </c>
      <c r="H118" s="24"/>
    </row>
    <row r="119" spans="1:8" s="15" customFormat="1" ht="30" customHeight="1">
      <c r="A119" s="18" t="s">
        <v>15</v>
      </c>
      <c r="B119" s="58">
        <f t="shared" si="6"/>
        <v>1</v>
      </c>
      <c r="C119" s="19" t="s">
        <v>3</v>
      </c>
      <c r="D119" s="71">
        <f t="shared" si="7"/>
        <v>61</v>
      </c>
      <c r="E119" s="58">
        <f>집계표!$K21</f>
        <v>1</v>
      </c>
      <c r="F119" s="19" t="s">
        <v>3</v>
      </c>
      <c r="G119" s="71">
        <f>집계표!$M21</f>
        <v>61</v>
      </c>
      <c r="H119" s="24"/>
    </row>
    <row r="120" spans="1:8" s="15" customFormat="1" ht="30" customHeight="1">
      <c r="A120" s="18" t="s">
        <v>40</v>
      </c>
      <c r="B120" s="58">
        <f t="shared" si="6"/>
        <v>0</v>
      </c>
      <c r="C120" s="19" t="s">
        <v>3</v>
      </c>
      <c r="D120" s="71">
        <f t="shared" si="7"/>
        <v>0</v>
      </c>
      <c r="E120" s="58">
        <f>집계표!$K22</f>
        <v>0</v>
      </c>
      <c r="F120" s="19" t="s">
        <v>3</v>
      </c>
      <c r="G120" s="71">
        <f>집계표!$M22</f>
        <v>0</v>
      </c>
      <c r="H120" s="24"/>
    </row>
    <row r="121" spans="1:8" s="15" customFormat="1" ht="30" customHeight="1">
      <c r="A121" s="18" t="s">
        <v>17</v>
      </c>
      <c r="B121" s="58">
        <f t="shared" si="6"/>
        <v>0</v>
      </c>
      <c r="C121" s="19" t="s">
        <v>3</v>
      </c>
      <c r="D121" s="71">
        <f t="shared" si="7"/>
        <v>0</v>
      </c>
      <c r="E121" s="58">
        <f>집계표!$K23</f>
        <v>0</v>
      </c>
      <c r="F121" s="19" t="s">
        <v>3</v>
      </c>
      <c r="G121" s="71">
        <f>집계표!$M23</f>
        <v>0</v>
      </c>
      <c r="H121" s="24"/>
    </row>
    <row r="122" spans="1:8" s="15" customFormat="1" ht="30" customHeight="1">
      <c r="A122" s="20" t="s">
        <v>32</v>
      </c>
      <c r="B122" s="58">
        <f t="shared" si="6"/>
        <v>0</v>
      </c>
      <c r="C122" s="19" t="s">
        <v>3</v>
      </c>
      <c r="D122" s="71">
        <f t="shared" si="7"/>
        <v>0</v>
      </c>
      <c r="E122" s="58">
        <f>집계표!$K24</f>
        <v>0</v>
      </c>
      <c r="F122" s="19" t="s">
        <v>3</v>
      </c>
      <c r="G122" s="71">
        <f>집계표!$M24</f>
        <v>0</v>
      </c>
      <c r="H122" s="24"/>
    </row>
    <row r="123" spans="1:8" s="15" customFormat="1" ht="30" customHeight="1">
      <c r="A123" s="21" t="s">
        <v>41</v>
      </c>
      <c r="B123" s="58">
        <f t="shared" si="6"/>
        <v>0</v>
      </c>
      <c r="C123" s="19" t="s">
        <v>3</v>
      </c>
      <c r="D123" s="71">
        <f t="shared" si="7"/>
        <v>0</v>
      </c>
      <c r="E123" s="58">
        <f>집계표!$K25</f>
        <v>0</v>
      </c>
      <c r="F123" s="19" t="s">
        <v>3</v>
      </c>
      <c r="G123" s="71">
        <f>집계표!$M25</f>
        <v>0</v>
      </c>
      <c r="H123" s="24"/>
    </row>
    <row r="124" spans="1:8" s="15" customFormat="1" ht="30" customHeight="1">
      <c r="A124" s="21" t="s">
        <v>33</v>
      </c>
      <c r="B124" s="58">
        <f t="shared" si="6"/>
        <v>0</v>
      </c>
      <c r="C124" s="19" t="s">
        <v>3</v>
      </c>
      <c r="D124" s="71">
        <f t="shared" si="7"/>
        <v>0</v>
      </c>
      <c r="E124" s="58">
        <f>집계표!$K26</f>
        <v>0</v>
      </c>
      <c r="F124" s="19" t="s">
        <v>3</v>
      </c>
      <c r="G124" s="71">
        <f>집계표!$M26</f>
        <v>0</v>
      </c>
      <c r="H124" s="24"/>
    </row>
    <row r="125" spans="1:8" s="15" customFormat="1" ht="30" customHeight="1">
      <c r="A125" s="21" t="s">
        <v>34</v>
      </c>
      <c r="B125" s="58">
        <f t="shared" si="6"/>
        <v>0</v>
      </c>
      <c r="C125" s="19" t="s">
        <v>3</v>
      </c>
      <c r="D125" s="71">
        <f t="shared" si="7"/>
        <v>0</v>
      </c>
      <c r="E125" s="58">
        <f>집계표!$K27</f>
        <v>0</v>
      </c>
      <c r="F125" s="19" t="s">
        <v>3</v>
      </c>
      <c r="G125" s="71">
        <f>집계표!$M27</f>
        <v>0</v>
      </c>
      <c r="H125" s="24"/>
    </row>
    <row r="126" spans="1:8" s="15" customFormat="1" ht="30" customHeight="1">
      <c r="A126" s="21" t="s">
        <v>54</v>
      </c>
      <c r="B126" s="58">
        <f t="shared" si="6"/>
        <v>0</v>
      </c>
      <c r="C126" s="19" t="s">
        <v>3</v>
      </c>
      <c r="D126" s="71">
        <f t="shared" si="7"/>
        <v>0</v>
      </c>
      <c r="E126" s="58">
        <f>집계표!$K28</f>
        <v>0</v>
      </c>
      <c r="F126" s="19" t="s">
        <v>3</v>
      </c>
      <c r="G126" s="71">
        <f>집계표!$M28</f>
        <v>0</v>
      </c>
      <c r="H126" s="24"/>
    </row>
    <row r="127" spans="1:8" s="15" customFormat="1" ht="30" customHeight="1">
      <c r="A127" s="21" t="s">
        <v>42</v>
      </c>
      <c r="B127" s="58">
        <f t="shared" si="6"/>
        <v>0</v>
      </c>
      <c r="C127" s="19" t="s">
        <v>3</v>
      </c>
      <c r="D127" s="71">
        <f t="shared" si="7"/>
        <v>0</v>
      </c>
      <c r="E127" s="58">
        <f>집계표!$K29</f>
        <v>0</v>
      </c>
      <c r="F127" s="19" t="s">
        <v>3</v>
      </c>
      <c r="G127" s="71">
        <f>집계표!$M29</f>
        <v>0</v>
      </c>
      <c r="H127" s="24"/>
    </row>
    <row r="128" spans="1:8" s="15" customFormat="1" ht="30" customHeight="1">
      <c r="A128" s="22" t="s">
        <v>43</v>
      </c>
      <c r="B128" s="58">
        <f t="shared" si="6"/>
        <v>0</v>
      </c>
      <c r="C128" s="19" t="s">
        <v>3</v>
      </c>
      <c r="D128" s="71">
        <f t="shared" si="7"/>
        <v>0</v>
      </c>
      <c r="E128" s="58">
        <f>집계표!$K30</f>
        <v>0</v>
      </c>
      <c r="F128" s="19" t="s">
        <v>3</v>
      </c>
      <c r="G128" s="71">
        <f>집계표!$M30</f>
        <v>0</v>
      </c>
      <c r="H128" s="24"/>
    </row>
    <row r="129" spans="1:8" s="15" customFormat="1" ht="30" customHeight="1">
      <c r="A129" s="23" t="s">
        <v>44</v>
      </c>
      <c r="B129" s="58">
        <f t="shared" si="6"/>
        <v>0</v>
      </c>
      <c r="C129" s="19" t="s">
        <v>3</v>
      </c>
      <c r="D129" s="71">
        <f t="shared" si="7"/>
        <v>0</v>
      </c>
      <c r="E129" s="58">
        <f>집계표!$K31</f>
        <v>0</v>
      </c>
      <c r="F129" s="19" t="s">
        <v>3</v>
      </c>
      <c r="G129" s="71">
        <f>집계표!$M31</f>
        <v>0</v>
      </c>
      <c r="H129" s="24"/>
    </row>
    <row r="130" spans="1:8" ht="18" customHeight="1">
      <c r="A130" s="148"/>
      <c r="B130" s="148"/>
      <c r="C130" s="148"/>
      <c r="D130" s="148"/>
      <c r="E130" s="148"/>
      <c r="F130" s="148"/>
      <c r="G130" s="148"/>
      <c r="H130" s="148"/>
    </row>
  </sheetData>
  <mergeCells count="30">
    <mergeCell ref="E100:G100"/>
    <mergeCell ref="A97:H97"/>
    <mergeCell ref="H35:H38"/>
    <mergeCell ref="E37:G37"/>
    <mergeCell ref="A65:H65"/>
    <mergeCell ref="A130:H130"/>
    <mergeCell ref="A99:A103"/>
    <mergeCell ref="B99:D102"/>
    <mergeCell ref="B67:D69"/>
    <mergeCell ref="H67:H70"/>
    <mergeCell ref="H99:H103"/>
    <mergeCell ref="A67:A70"/>
    <mergeCell ref="E35:G35"/>
    <mergeCell ref="E4:G4"/>
    <mergeCell ref="E36:G36"/>
    <mergeCell ref="A33:H33"/>
    <mergeCell ref="A35:A38"/>
    <mergeCell ref="B35:D37"/>
    <mergeCell ref="E67:G67"/>
    <mergeCell ref="E68:G68"/>
    <mergeCell ref="E99:G99"/>
    <mergeCell ref="E102:G102"/>
    <mergeCell ref="E101:G101"/>
    <mergeCell ref="E69:G69"/>
    <mergeCell ref="A1:H1"/>
    <mergeCell ref="A3:A6"/>
    <mergeCell ref="B3:D5"/>
    <mergeCell ref="H3:H6"/>
    <mergeCell ref="E5:G5"/>
    <mergeCell ref="E3:G3"/>
  </mergeCells>
  <phoneticPr fontId="6" type="noConversion"/>
  <printOptions horizontalCentered="1" verticalCentered="1"/>
  <pageMargins left="0.39370078740157483" right="0.39370078740157483" top="0.78740157480314965" bottom="0.19685039370078741" header="0" footer="0"/>
  <pageSetup paperSize="8" scale="75" orientation="landscape" r:id="rId1"/>
  <headerFooter alignWithMargins="0"/>
  <rowBreaks count="3" manualBreakCount="3">
    <brk id="32" max="33" man="1"/>
    <brk id="64" max="21" man="1"/>
    <brk id="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showGridLines="0" showZeros="0" tabSelected="1" view="pageBreakPreview" zoomScaleNormal="100" zoomScaleSheetLayoutView="100" workbookViewId="0">
      <selection activeCell="H11" sqref="H11"/>
    </sheetView>
  </sheetViews>
  <sheetFormatPr defaultRowHeight="12"/>
  <cols>
    <col min="1" max="1" width="16.6640625" style="30" customWidth="1"/>
    <col min="2" max="2" width="8.21875" style="31" customWidth="1"/>
    <col min="3" max="3" width="1.33203125" style="31" customWidth="1"/>
    <col min="4" max="4" width="14.6640625" style="42" customWidth="1"/>
    <col min="5" max="5" width="8.21875" style="31" customWidth="1"/>
    <col min="6" max="6" width="1.33203125" style="31" customWidth="1"/>
    <col min="7" max="7" width="14.6640625" style="42" customWidth="1"/>
    <col min="8" max="8" width="8.21875" style="31" customWidth="1"/>
    <col min="9" max="9" width="1.33203125" style="31" customWidth="1"/>
    <col min="10" max="10" width="14.6640625" style="42" customWidth="1"/>
    <col min="11" max="11" width="8.21875" style="31" customWidth="1"/>
    <col min="12" max="12" width="1.33203125" style="31" customWidth="1"/>
    <col min="13" max="13" width="14.6640625" style="42" customWidth="1"/>
    <col min="14" max="14" width="6.77734375" style="31" customWidth="1"/>
    <col min="15" max="15" width="8.33203125" style="31" customWidth="1"/>
    <col min="16" max="16384" width="8.88671875" style="31"/>
  </cols>
  <sheetData>
    <row r="1" spans="1:15" s="29" customFormat="1" ht="60" customHeight="1">
      <c r="A1" s="109" t="s">
        <v>38</v>
      </c>
      <c r="B1" s="27"/>
      <c r="C1" s="27"/>
      <c r="D1" s="41"/>
      <c r="E1" s="28"/>
      <c r="F1" s="27"/>
      <c r="G1" s="43"/>
      <c r="H1" s="28"/>
      <c r="I1" s="27"/>
      <c r="J1" s="43"/>
      <c r="K1" s="27"/>
      <c r="L1" s="27"/>
      <c r="M1" s="43"/>
      <c r="N1" s="27"/>
    </row>
    <row r="2" spans="1:15" s="33" customFormat="1" ht="20.100000000000001" customHeight="1">
      <c r="A2" s="93" t="s">
        <v>185</v>
      </c>
      <c r="B2" s="31"/>
      <c r="C2" s="31"/>
      <c r="D2" s="42"/>
      <c r="E2" s="31"/>
      <c r="F2" s="31"/>
      <c r="G2" s="42"/>
      <c r="H2" s="31"/>
      <c r="I2" s="31"/>
      <c r="J2" s="44"/>
      <c r="L2" s="32"/>
      <c r="M2" s="45"/>
      <c r="N2" s="92" t="str">
        <f>'백련리(국공유지포함)'!K2</f>
        <v xml:space="preserve">전북특별자치도 부안군 하서면 백련리 </v>
      </c>
    </row>
    <row r="3" spans="1:15" s="33" customFormat="1" ht="9.9499999999999993" customHeight="1">
      <c r="A3" s="30"/>
      <c r="B3" s="31"/>
      <c r="C3" s="31"/>
      <c r="D3" s="42"/>
      <c r="E3" s="31"/>
      <c r="F3" s="31"/>
      <c r="G3" s="42"/>
      <c r="H3" s="31"/>
      <c r="I3" s="31"/>
      <c r="J3" s="42"/>
      <c r="K3" s="31"/>
      <c r="L3" s="31"/>
      <c r="M3" s="42"/>
      <c r="N3" s="31"/>
    </row>
    <row r="4" spans="1:15" s="35" customFormat="1" ht="27.95" customHeight="1">
      <c r="A4" s="152" t="s">
        <v>187</v>
      </c>
      <c r="B4" s="98" t="s">
        <v>1</v>
      </c>
      <c r="C4" s="99"/>
      <c r="D4" s="100"/>
      <c r="E4" s="149" t="s">
        <v>35</v>
      </c>
      <c r="F4" s="150"/>
      <c r="G4" s="151"/>
      <c r="H4" s="149" t="s">
        <v>47</v>
      </c>
      <c r="I4" s="150"/>
      <c r="J4" s="151"/>
      <c r="K4" s="98" t="s">
        <v>36</v>
      </c>
      <c r="L4" s="99"/>
      <c r="M4" s="100"/>
      <c r="N4" s="152" t="s">
        <v>19</v>
      </c>
      <c r="O4" s="34"/>
    </row>
    <row r="5" spans="1:15" s="35" customFormat="1" ht="27.95" customHeight="1">
      <c r="A5" s="153"/>
      <c r="B5" s="101" t="s">
        <v>2</v>
      </c>
      <c r="C5" s="102" t="s">
        <v>3</v>
      </c>
      <c r="D5" s="103" t="s">
        <v>37</v>
      </c>
      <c r="E5" s="101" t="s">
        <v>2</v>
      </c>
      <c r="F5" s="102" t="s">
        <v>3</v>
      </c>
      <c r="G5" s="103" t="s">
        <v>37</v>
      </c>
      <c r="H5" s="101" t="s">
        <v>2</v>
      </c>
      <c r="I5" s="102" t="s">
        <v>3</v>
      </c>
      <c r="J5" s="103" t="s">
        <v>37</v>
      </c>
      <c r="K5" s="101" t="s">
        <v>2</v>
      </c>
      <c r="L5" s="102" t="s">
        <v>3</v>
      </c>
      <c r="M5" s="103" t="s">
        <v>37</v>
      </c>
      <c r="N5" s="153"/>
      <c r="O5" s="34"/>
    </row>
    <row r="6" spans="1:15" s="35" customFormat="1" ht="23.1" customHeight="1">
      <c r="A6" s="104" t="s">
        <v>1</v>
      </c>
      <c r="B6" s="105">
        <f>SUM(B7:B31)</f>
        <v>95</v>
      </c>
      <c r="C6" s="106" t="s">
        <v>3</v>
      </c>
      <c r="D6" s="107">
        <f>SUM(D7:D31)</f>
        <v>697008</v>
      </c>
      <c r="E6" s="105">
        <f>SUM(E7:E31)</f>
        <v>65</v>
      </c>
      <c r="F6" s="106" t="s">
        <v>3</v>
      </c>
      <c r="G6" s="107">
        <f>SUM(G7:G31)</f>
        <v>685831</v>
      </c>
      <c r="H6" s="105">
        <f>SUM(H7:H31)</f>
        <v>12</v>
      </c>
      <c r="I6" s="106" t="s">
        <v>3</v>
      </c>
      <c r="J6" s="107">
        <f>SUM(J7:J31)</f>
        <v>2572</v>
      </c>
      <c r="K6" s="105">
        <f>SUM(K7:K31)</f>
        <v>18</v>
      </c>
      <c r="L6" s="106" t="s">
        <v>3</v>
      </c>
      <c r="M6" s="107">
        <f>SUM(M7:M31)</f>
        <v>8605</v>
      </c>
      <c r="N6" s="108"/>
      <c r="O6" s="34"/>
    </row>
    <row r="7" spans="1:15" s="35" customFormat="1" ht="23.1" customHeight="1">
      <c r="A7" s="94" t="s">
        <v>5</v>
      </c>
      <c r="B7" s="36">
        <f>COUNTIF('백련리(국공유지포함)'!$C$7:$C$501,"전")</f>
        <v>3</v>
      </c>
      <c r="C7" s="68" t="s">
        <v>3</v>
      </c>
      <c r="D7" s="72">
        <f>SUMIF('백련리(국공유지포함)'!$C$7:$C$501,"전",'백련리(국공유지포함)'!$E$7:$E$501)</f>
        <v>709</v>
      </c>
      <c r="E7" s="36">
        <f>COUNTIF('백련리(국공유지포함)'!$L$7:$L$501,"전국")</f>
        <v>0</v>
      </c>
      <c r="F7" s="68" t="s">
        <v>3</v>
      </c>
      <c r="G7" s="72">
        <f>SUMIF('백련리(국공유지포함)'!$L$7:$L$501,"전국",'백련리(국공유지포함)'!$E$7:$E$501)</f>
        <v>0</v>
      </c>
      <c r="H7" s="36">
        <f>COUNTIF('백련리(국공유지포함)'!$L$7:$L$501,"전공")</f>
        <v>0</v>
      </c>
      <c r="I7" s="68" t="s">
        <v>3</v>
      </c>
      <c r="J7" s="72">
        <f>SUMIF('백련리(국공유지포함)'!$L$7:$L$501,"전공",'백련리(국공유지포함)'!$E$7:$E$501)</f>
        <v>0</v>
      </c>
      <c r="K7" s="36">
        <f>B7-E7-H7</f>
        <v>3</v>
      </c>
      <c r="L7" s="68" t="s">
        <v>3</v>
      </c>
      <c r="M7" s="72">
        <f>D7-G7-J7</f>
        <v>709</v>
      </c>
      <c r="N7" s="37"/>
      <c r="O7" s="34"/>
    </row>
    <row r="8" spans="1:15" s="35" customFormat="1" ht="23.1" customHeight="1">
      <c r="A8" s="94" t="s">
        <v>6</v>
      </c>
      <c r="B8" s="36">
        <f>COUNTIF('백련리(국공유지포함)'!$C$7:$C$501,"답")</f>
        <v>8</v>
      </c>
      <c r="C8" s="68" t="s">
        <v>3</v>
      </c>
      <c r="D8" s="72">
        <f>SUMIF('백련리(국공유지포함)'!$C$7:$C$501,"답",'백련리(국공유지포함)'!$E$7:$E$501)</f>
        <v>7338</v>
      </c>
      <c r="E8" s="36">
        <f>COUNTIF('백련리(국공유지포함)'!$L$7:$L$501,"답국")</f>
        <v>2</v>
      </c>
      <c r="F8" s="68" t="s">
        <v>3</v>
      </c>
      <c r="G8" s="72">
        <f>SUMIF('백련리(국공유지포함)'!$L$7:$L$501,"답국",'백련리(국공유지포함)'!$E$7:$E$501)</f>
        <v>241</v>
      </c>
      <c r="H8" s="36">
        <f>COUNTIF('백련리(국공유지포함)'!$L$7:$L$501,"답공")</f>
        <v>0</v>
      </c>
      <c r="I8" s="68" t="s">
        <v>3</v>
      </c>
      <c r="J8" s="72">
        <f>SUMIF('백련리(국공유지포함)'!$L$7:$L$501,"답공",'백련리(국공유지포함)'!$E$7:$E$501)</f>
        <v>0</v>
      </c>
      <c r="K8" s="36">
        <f t="shared" ref="K8:K31" si="0">B8-E8-H8</f>
        <v>6</v>
      </c>
      <c r="L8" s="68" t="s">
        <v>3</v>
      </c>
      <c r="M8" s="72">
        <f t="shared" ref="M8:M31" si="1">D8-G8-J8</f>
        <v>7097</v>
      </c>
      <c r="N8" s="37"/>
      <c r="O8" s="34"/>
    </row>
    <row r="9" spans="1:15" s="35" customFormat="1" ht="23.1" customHeight="1">
      <c r="A9" s="94" t="s">
        <v>7</v>
      </c>
      <c r="B9" s="36">
        <f>COUNTIF('백련리(국공유지포함)'!$C$7:$C$501,"임")</f>
        <v>19</v>
      </c>
      <c r="C9" s="68" t="s">
        <v>3</v>
      </c>
      <c r="D9" s="72">
        <f>SUMIF('백련리(국공유지포함)'!$C$7:$C$501,"임",'백련리(국공유지포함)'!$E$7:$E$501)</f>
        <v>7392</v>
      </c>
      <c r="E9" s="36">
        <f>COUNTIF('백련리(국공유지포함)'!$L$7:$L$501,"임국")</f>
        <v>14</v>
      </c>
      <c r="F9" s="68" t="s">
        <v>3</v>
      </c>
      <c r="G9" s="72">
        <f>SUMIF('백련리(국공유지포함)'!$L$7:$L$501,"임국",'백련리(국공유지포함)'!$E$7:$E$501)</f>
        <v>6874</v>
      </c>
      <c r="H9" s="36">
        <f>COUNTIF('백련리(국공유지포함)'!$L$7:$L$501,"임공")</f>
        <v>0</v>
      </c>
      <c r="I9" s="68" t="s">
        <v>3</v>
      </c>
      <c r="J9" s="72">
        <f>SUMIF('백련리(국공유지포함)'!$L$7:$L$501,"임공",'백련리(국공유지포함)'!$E$7:$E$501)</f>
        <v>0</v>
      </c>
      <c r="K9" s="36">
        <f t="shared" si="0"/>
        <v>5</v>
      </c>
      <c r="L9" s="68" t="s">
        <v>3</v>
      </c>
      <c r="M9" s="72">
        <f t="shared" si="1"/>
        <v>518</v>
      </c>
      <c r="N9" s="37"/>
      <c r="O9" s="34"/>
    </row>
    <row r="10" spans="1:15" s="35" customFormat="1" ht="23.1" customHeight="1">
      <c r="A10" s="94" t="s">
        <v>8</v>
      </c>
      <c r="B10" s="36">
        <f>COUNTIF('백련리(국공유지포함)'!$C$7:$C$501,"대")</f>
        <v>1</v>
      </c>
      <c r="C10" s="68" t="s">
        <v>3</v>
      </c>
      <c r="D10" s="72">
        <f>SUMIF('백련리(국공유지포함)'!$C$7:$C$501,"대",'백련리(국공유지포함)'!$E$7:$E$501)</f>
        <v>18</v>
      </c>
      <c r="E10" s="36">
        <f>COUNTIF('백련리(국공유지포함)'!$L$7:$L$501,"대국")</f>
        <v>1</v>
      </c>
      <c r="F10" s="68" t="s">
        <v>3</v>
      </c>
      <c r="G10" s="72">
        <f>SUMIF('백련리(국공유지포함)'!$L$7:$L$501,"대국",'백련리(국공유지포함)'!$E$7:$E$501)</f>
        <v>18</v>
      </c>
      <c r="H10" s="36">
        <f>COUNTIF('백련리(국공유지포함)'!$L$7:$L$501,"대공")</f>
        <v>0</v>
      </c>
      <c r="I10" s="68" t="s">
        <v>3</v>
      </c>
      <c r="J10" s="72">
        <f>SUMIF('백련리(국공유지포함)'!$L$7:$L$501,"대공",'백련리(국공유지포함)'!$E$7:$E$501)</f>
        <v>0</v>
      </c>
      <c r="K10" s="36">
        <f t="shared" si="0"/>
        <v>0</v>
      </c>
      <c r="L10" s="68" t="s">
        <v>3</v>
      </c>
      <c r="M10" s="72">
        <f t="shared" si="1"/>
        <v>0</v>
      </c>
      <c r="N10" s="37"/>
      <c r="O10" s="34"/>
    </row>
    <row r="11" spans="1:15" s="35" customFormat="1" ht="23.1" customHeight="1">
      <c r="A11" s="94" t="s">
        <v>9</v>
      </c>
      <c r="B11" s="36">
        <f>COUNTIF('백련리(국공유지포함)'!$C$7:$C$501,"도")</f>
        <v>61</v>
      </c>
      <c r="C11" s="68" t="s">
        <v>3</v>
      </c>
      <c r="D11" s="72">
        <f>SUMIF('백련리(국공유지포함)'!$C$7:$C$501,"도",'백련리(국공유지포함)'!$E$7:$E$501)</f>
        <v>21430</v>
      </c>
      <c r="E11" s="36">
        <f>COUNTIF('백련리(국공유지포함)'!$L$7:$L$501,"도국")</f>
        <v>46</v>
      </c>
      <c r="F11" s="68" t="s">
        <v>3</v>
      </c>
      <c r="G11" s="72">
        <f>SUMIF('백련리(국공유지포함)'!$L$7:$L$501,"도국",'백련리(국공유지포함)'!$E$7:$E$501)</f>
        <v>18638</v>
      </c>
      <c r="H11" s="36">
        <f>COUNTIF('백련리(국공유지포함)'!$L$7:$L$501,"도공")</f>
        <v>12</v>
      </c>
      <c r="I11" s="68" t="s">
        <v>3</v>
      </c>
      <c r="J11" s="72">
        <f>SUMIF('백련리(국공유지포함)'!$L$7:$L$501,"도공",'백련리(국공유지포함)'!$E$7:$E$501)</f>
        <v>2572</v>
      </c>
      <c r="K11" s="36">
        <f t="shared" si="0"/>
        <v>3</v>
      </c>
      <c r="L11" s="68" t="s">
        <v>3</v>
      </c>
      <c r="M11" s="72">
        <f t="shared" si="1"/>
        <v>220</v>
      </c>
      <c r="N11" s="37"/>
      <c r="O11" s="34"/>
    </row>
    <row r="12" spans="1:15" s="35" customFormat="1" ht="23.1" customHeight="1">
      <c r="A12" s="94" t="s">
        <v>11</v>
      </c>
      <c r="B12" s="36">
        <f>COUNTIF('백련리(국공유지포함)'!$C$7:$C$501,"구")</f>
        <v>0</v>
      </c>
      <c r="C12" s="68" t="s">
        <v>3</v>
      </c>
      <c r="D12" s="72">
        <f>SUMIF('백련리(국공유지포함)'!$C$7:$C$501,"구",'백련리(국공유지포함)'!$E$7:$E$501)</f>
        <v>0</v>
      </c>
      <c r="E12" s="36">
        <f>COUNTIF('백련리(국공유지포함)'!$L$7:$L$501,"구국")</f>
        <v>0</v>
      </c>
      <c r="F12" s="68" t="s">
        <v>3</v>
      </c>
      <c r="G12" s="72">
        <f>SUMIF('백련리(국공유지포함)'!$L$7:$L$501,"구국",'백련리(국공유지포함)'!$E$7:$E$501)</f>
        <v>0</v>
      </c>
      <c r="H12" s="36">
        <f>COUNTIF('백련리(국공유지포함)'!$L$7:$L$501,"구공")</f>
        <v>0</v>
      </c>
      <c r="I12" s="68" t="s">
        <v>3</v>
      </c>
      <c r="J12" s="72">
        <f>SUMIF('백련리(국공유지포함)'!$L$7:$L$501,"구공",'백련리(국공유지포함)'!$E$7:$E$501)</f>
        <v>0</v>
      </c>
      <c r="K12" s="36">
        <f t="shared" si="0"/>
        <v>0</v>
      </c>
      <c r="L12" s="68" t="s">
        <v>3</v>
      </c>
      <c r="M12" s="72">
        <f t="shared" si="1"/>
        <v>0</v>
      </c>
      <c r="N12" s="37"/>
      <c r="O12" s="34"/>
    </row>
    <row r="13" spans="1:15" s="35" customFormat="1" ht="23.1" customHeight="1">
      <c r="A13" s="94" t="s">
        <v>10</v>
      </c>
      <c r="B13" s="36">
        <f>COUNTIF('백련리(국공유지포함)'!$C$7:$C$501,"천")</f>
        <v>0</v>
      </c>
      <c r="C13" s="68" t="s">
        <v>3</v>
      </c>
      <c r="D13" s="72">
        <f>SUMIF('백련리(국공유지포함)'!$C$7:$C$501,"천",'백련리(국공유지포함)'!$E$7:$E$501)</f>
        <v>0</v>
      </c>
      <c r="E13" s="36">
        <f>COUNTIF('백련리(국공유지포함)'!$L$7:$L$501,"천국")</f>
        <v>0</v>
      </c>
      <c r="F13" s="68" t="s">
        <v>3</v>
      </c>
      <c r="G13" s="72">
        <f>SUMIF('백련리(국공유지포함)'!$L$7:$L$501,"천국",'백련리(국공유지포함)'!$E$7:$E$501)</f>
        <v>0</v>
      </c>
      <c r="H13" s="36">
        <f>COUNTIF('백련리(국공유지포함)'!$L$7:$L$501,"천공")</f>
        <v>0</v>
      </c>
      <c r="I13" s="68" t="s">
        <v>3</v>
      </c>
      <c r="J13" s="72">
        <f>SUMIF('백련리(국공유지포함)'!$L$7:$L$501,"천공",'백련리(국공유지포함)'!$E$7:$E$501)</f>
        <v>0</v>
      </c>
      <c r="K13" s="36">
        <f t="shared" si="0"/>
        <v>0</v>
      </c>
      <c r="L13" s="68" t="s">
        <v>3</v>
      </c>
      <c r="M13" s="72">
        <f t="shared" si="1"/>
        <v>0</v>
      </c>
      <c r="N13" s="37"/>
      <c r="O13" s="34"/>
    </row>
    <row r="14" spans="1:15" s="35" customFormat="1" ht="23.1" customHeight="1">
      <c r="A14" s="94" t="s">
        <v>13</v>
      </c>
      <c r="B14" s="36">
        <f>COUNTIF('백련리(국공유지포함)'!$C$7:$C$501,"유")</f>
        <v>0</v>
      </c>
      <c r="C14" s="68" t="s">
        <v>3</v>
      </c>
      <c r="D14" s="72">
        <f>SUMIF('백련리(국공유지포함)'!$C$7:$C$501,"유",'백련리(국공유지포함)'!$E$7:$E$501)</f>
        <v>0</v>
      </c>
      <c r="E14" s="36">
        <f>COUNTIF('백련리(국공유지포함)'!$L$7:$L$501,"유국")</f>
        <v>0</v>
      </c>
      <c r="F14" s="68" t="s">
        <v>3</v>
      </c>
      <c r="G14" s="72">
        <f>SUMIF('백련리(국공유지포함)'!$L$7:$L$501,"유국",'백련리(국공유지포함)'!$E$7:$E$501)</f>
        <v>0</v>
      </c>
      <c r="H14" s="36">
        <f>COUNTIF('백련리(국공유지포함)'!$L$7:$L$501,"유공")</f>
        <v>0</v>
      </c>
      <c r="I14" s="68" t="s">
        <v>3</v>
      </c>
      <c r="J14" s="72">
        <f>SUMIF('백련리(국공유지포함)'!$L$7:$L$501,"유공",'백련리(국공유지포함)'!$E$7:$E$501)</f>
        <v>0</v>
      </c>
      <c r="K14" s="36">
        <f t="shared" si="0"/>
        <v>0</v>
      </c>
      <c r="L14" s="68" t="s">
        <v>3</v>
      </c>
      <c r="M14" s="72">
        <f t="shared" si="1"/>
        <v>0</v>
      </c>
      <c r="N14" s="37"/>
      <c r="O14" s="34"/>
    </row>
    <row r="15" spans="1:15" s="35" customFormat="1" ht="23.1" customHeight="1">
      <c r="A15" s="94" t="s">
        <v>12</v>
      </c>
      <c r="B15" s="36">
        <f>COUNTIF('백련리(국공유지포함)'!$C$7:$C$501,"제")</f>
        <v>0</v>
      </c>
      <c r="C15" s="68" t="s">
        <v>3</v>
      </c>
      <c r="D15" s="72">
        <f>SUMIF('백련리(국공유지포함)'!$C$7:$C$501,"제",'백련리(국공유지포함)'!$E$7:$E$501)</f>
        <v>0</v>
      </c>
      <c r="E15" s="36">
        <f>COUNTIF('백련리(국공유지포함)'!$L$7:$L$501,"제국")</f>
        <v>0</v>
      </c>
      <c r="F15" s="68" t="s">
        <v>3</v>
      </c>
      <c r="G15" s="72">
        <f>SUMIF('백련리(국공유지포함)'!$L$7:$L$501,"제국",'백련리(국공유지포함)'!$E$7:$E$501)</f>
        <v>0</v>
      </c>
      <c r="H15" s="36">
        <f>COUNTIF('백련리(국공유지포함)'!$L$7:$L$501,"제공")</f>
        <v>0</v>
      </c>
      <c r="I15" s="68" t="s">
        <v>3</v>
      </c>
      <c r="J15" s="72">
        <f>SUMIF('백련리(국공유지포함)'!$L$7:$L$501,"제공",'백련리(국공유지포함)'!$E$7:$E$501)</f>
        <v>0</v>
      </c>
      <c r="K15" s="36">
        <f t="shared" si="0"/>
        <v>0</v>
      </c>
      <c r="L15" s="68" t="s">
        <v>3</v>
      </c>
      <c r="M15" s="72">
        <f t="shared" si="1"/>
        <v>0</v>
      </c>
      <c r="N15" s="37"/>
      <c r="O15" s="34"/>
    </row>
    <row r="16" spans="1:15" s="35" customFormat="1" ht="23.1" hidden="1" customHeight="1">
      <c r="A16" s="94" t="s">
        <v>14</v>
      </c>
      <c r="B16" s="36">
        <f>COUNTIF('백련리(국공유지포함)'!$C$7:$C$501,"과")</f>
        <v>0</v>
      </c>
      <c r="C16" s="68" t="s">
        <v>3</v>
      </c>
      <c r="D16" s="72">
        <f>SUMIF('백련리(국공유지포함)'!$C$7:$C$501,"과",'백련리(국공유지포함)'!$E$7:$E$501)</f>
        <v>0</v>
      </c>
      <c r="E16" s="36">
        <f>COUNTIF('백련리(국공유지포함)'!$L$7:$L$501,"과국")</f>
        <v>0</v>
      </c>
      <c r="F16" s="68" t="s">
        <v>3</v>
      </c>
      <c r="G16" s="72">
        <f>SUMIF('백련리(국공유지포함)'!$L$7:$L$501,"과국",'백련리(국공유지포함)'!$E$7:$E$501)</f>
        <v>0</v>
      </c>
      <c r="H16" s="36">
        <f>COUNTIF('백련리(국공유지포함)'!$L$7:$L$501,"과공")</f>
        <v>0</v>
      </c>
      <c r="I16" s="68" t="s">
        <v>3</v>
      </c>
      <c r="J16" s="72">
        <f>SUMIF('백련리(국공유지포함)'!$L$7:$L$501,"과공",'백련리(국공유지포함)'!$E$7:$E$501)</f>
        <v>0</v>
      </c>
      <c r="K16" s="36">
        <f t="shared" si="0"/>
        <v>0</v>
      </c>
      <c r="L16" s="68" t="s">
        <v>3</v>
      </c>
      <c r="M16" s="72">
        <f t="shared" si="1"/>
        <v>0</v>
      </c>
      <c r="N16" s="37"/>
      <c r="O16" s="34"/>
    </row>
    <row r="17" spans="1:15" s="35" customFormat="1" ht="23.1" hidden="1" customHeight="1">
      <c r="A17" s="94" t="s">
        <v>18</v>
      </c>
      <c r="B17" s="36">
        <f>COUNTIF('백련리(국공유지포함)'!$C$7:$C$501,"장")</f>
        <v>0</v>
      </c>
      <c r="C17" s="68" t="s">
        <v>3</v>
      </c>
      <c r="D17" s="72">
        <f>SUMIF('백련리(국공유지포함)'!$C$7:$C$501,"장",'백련리(국공유지포함)'!$E$7:$E$501)</f>
        <v>0</v>
      </c>
      <c r="E17" s="36">
        <f>COUNTIF('백련리(국공유지포함)'!$L$7:$L$501,"장국")</f>
        <v>0</v>
      </c>
      <c r="F17" s="68" t="s">
        <v>3</v>
      </c>
      <c r="G17" s="72">
        <f>SUMIF('백련리(국공유지포함)'!$L$7:$L$501,"장국",'백련리(국공유지포함)'!$E$7:$E$501)</f>
        <v>0</v>
      </c>
      <c r="H17" s="36">
        <f>COUNTIF('백련리(국공유지포함)'!$L$7:$L$501,"장공")</f>
        <v>0</v>
      </c>
      <c r="I17" s="68" t="s">
        <v>3</v>
      </c>
      <c r="J17" s="72">
        <f>SUMIF('백련리(국공유지포함)'!$L$7:$L$501,"장공",'백련리(국공유지포함)'!$E$7:$E$501)</f>
        <v>0</v>
      </c>
      <c r="K17" s="36">
        <f t="shared" si="0"/>
        <v>0</v>
      </c>
      <c r="L17" s="68" t="s">
        <v>3</v>
      </c>
      <c r="M17" s="72">
        <f t="shared" si="1"/>
        <v>0</v>
      </c>
      <c r="N17" s="37"/>
      <c r="O17" s="34"/>
    </row>
    <row r="18" spans="1:15" s="35" customFormat="1" ht="23.1" hidden="1" customHeight="1">
      <c r="A18" s="94" t="s">
        <v>16</v>
      </c>
      <c r="B18" s="36">
        <f>COUNTIF('백련리(국공유지포함)'!$C$7:$C$501,"목")</f>
        <v>0</v>
      </c>
      <c r="C18" s="68" t="s">
        <v>3</v>
      </c>
      <c r="D18" s="72">
        <f>SUMIF('백련리(국공유지포함)'!$C$7:$C$501,"목",'백련리(국공유지포함)'!$E$7:$E$501)</f>
        <v>0</v>
      </c>
      <c r="E18" s="36">
        <f>COUNTIF('백련리(국공유지포함)'!$L$7:$L$501,"목국")</f>
        <v>0</v>
      </c>
      <c r="F18" s="68" t="s">
        <v>3</v>
      </c>
      <c r="G18" s="72">
        <f>SUMIF('백련리(국공유지포함)'!$L$7:$L$501,"목국",'백련리(국공유지포함)'!$E$7:$E$501)</f>
        <v>0</v>
      </c>
      <c r="H18" s="36">
        <f>COUNTIF('백련리(국공유지포함)'!$L$7:$L$501,"목공")</f>
        <v>0</v>
      </c>
      <c r="I18" s="68" t="s">
        <v>3</v>
      </c>
      <c r="J18" s="72">
        <f>SUMIF('백련리(국공유지포함)'!$L$7:$L$501,"목공",'백련리(국공유지포함)'!$E$7:$E$501)</f>
        <v>0</v>
      </c>
      <c r="K18" s="36">
        <f t="shared" si="0"/>
        <v>0</v>
      </c>
      <c r="L18" s="68" t="s">
        <v>3</v>
      </c>
      <c r="M18" s="72">
        <f t="shared" si="1"/>
        <v>0</v>
      </c>
      <c r="N18" s="37"/>
      <c r="O18" s="34"/>
    </row>
    <row r="19" spans="1:15" s="35" customFormat="1" ht="23.1" hidden="1" customHeight="1">
      <c r="A19" s="94" t="s">
        <v>20</v>
      </c>
      <c r="B19" s="36">
        <f>COUNTIF('백련리(국공유지포함)'!$C$7:$C$501,"학")</f>
        <v>0</v>
      </c>
      <c r="C19" s="68" t="s">
        <v>3</v>
      </c>
      <c r="D19" s="72">
        <f>SUMIF('백련리(국공유지포함)'!$C$7:$C$501,"학",'백련리(국공유지포함)'!$E$7:$E$501)</f>
        <v>0</v>
      </c>
      <c r="E19" s="36">
        <f>COUNTIF('백련리(국공유지포함)'!$L$7:$L$501,"학국")</f>
        <v>0</v>
      </c>
      <c r="F19" s="68" t="s">
        <v>3</v>
      </c>
      <c r="G19" s="72">
        <f>SUMIF('백련리(국공유지포함)'!$L$7:$L$501,"학국",'백련리(국공유지포함)'!$E$7:$E$501)</f>
        <v>0</v>
      </c>
      <c r="H19" s="36">
        <f>COUNTIF('백련리(국공유지포함)'!$L$7:$L$501,"학공")</f>
        <v>0</v>
      </c>
      <c r="I19" s="68" t="s">
        <v>3</v>
      </c>
      <c r="J19" s="72">
        <f>SUMIF('백련리(국공유지포함)'!$L$7:$L$501,"학공",'백련리(국공유지포함)'!$E$7:$E$501)</f>
        <v>0</v>
      </c>
      <c r="K19" s="36">
        <f t="shared" si="0"/>
        <v>0</v>
      </c>
      <c r="L19" s="68" t="s">
        <v>3</v>
      </c>
      <c r="M19" s="72">
        <f t="shared" si="1"/>
        <v>0</v>
      </c>
      <c r="N19" s="37"/>
      <c r="O19" s="34"/>
    </row>
    <row r="20" spans="1:15" s="35" customFormat="1" ht="23.1" hidden="1" customHeight="1">
      <c r="A20" s="94" t="s">
        <v>31</v>
      </c>
      <c r="B20" s="36">
        <f>COUNTIF('백련리(국공유지포함)'!$C$7:$C$501,"철")</f>
        <v>0</v>
      </c>
      <c r="C20" s="68" t="s">
        <v>3</v>
      </c>
      <c r="D20" s="72">
        <f>SUMIF('백련리(국공유지포함)'!$C$7:$C$501,"철",'백련리(국공유지포함)'!$E$7:$E$501)</f>
        <v>0</v>
      </c>
      <c r="E20" s="36">
        <f>COUNTIF('백련리(국공유지포함)'!$L$7:$L$501,"철국")</f>
        <v>0</v>
      </c>
      <c r="F20" s="68" t="s">
        <v>3</v>
      </c>
      <c r="G20" s="72">
        <f>SUMIF('백련리(국공유지포함)'!$L$7:$L$501,"철국",'백련리(국공유지포함)'!$E$7:$E$501)</f>
        <v>0</v>
      </c>
      <c r="H20" s="36">
        <f>COUNTIF('백련리(국공유지포함)'!$L$7:$L$501,"철공")</f>
        <v>0</v>
      </c>
      <c r="I20" s="68" t="s">
        <v>3</v>
      </c>
      <c r="J20" s="72">
        <f>SUMIF('백련리(국공유지포함)'!$L$7:$L$501,"철공",'백련리(국공유지포함)'!$E$7:$E$501)</f>
        <v>0</v>
      </c>
      <c r="K20" s="36">
        <f t="shared" si="0"/>
        <v>0</v>
      </c>
      <c r="L20" s="68" t="s">
        <v>3</v>
      </c>
      <c r="M20" s="72">
        <f t="shared" si="1"/>
        <v>0</v>
      </c>
      <c r="N20" s="37"/>
      <c r="O20" s="34"/>
    </row>
    <row r="21" spans="1:15" s="35" customFormat="1" ht="23.1" customHeight="1">
      <c r="A21" s="94" t="s">
        <v>15</v>
      </c>
      <c r="B21" s="36">
        <f>COUNTIF('백련리(국공유지포함)'!$C$7:$C$501,"묘")</f>
        <v>2</v>
      </c>
      <c r="C21" s="68" t="s">
        <v>3</v>
      </c>
      <c r="D21" s="72">
        <f>SUMIF('백련리(국공유지포함)'!$C$7:$C$501,"묘",'백련리(국공유지포함)'!$E$7:$E$501)</f>
        <v>82</v>
      </c>
      <c r="E21" s="36">
        <f>COUNTIF('백련리(국공유지포함)'!$L$7:$L$501,"묘국")</f>
        <v>1</v>
      </c>
      <c r="F21" s="68" t="s">
        <v>3</v>
      </c>
      <c r="G21" s="72">
        <f>SUMIF('백련리(국공유지포함)'!$L$7:$L$501,"묘국",'백련리(국공유지포함)'!$E$7:$E$501)</f>
        <v>21</v>
      </c>
      <c r="H21" s="36">
        <f>COUNTIF('백련리(국공유지포함)'!$L$7:$L$501,"묘공")</f>
        <v>0</v>
      </c>
      <c r="I21" s="68" t="s">
        <v>3</v>
      </c>
      <c r="J21" s="72">
        <f>SUMIF('백련리(국공유지포함)'!$L$7:$L$501,"묘공",'백련리(국공유지포함)'!$E$7:$E$501)</f>
        <v>0</v>
      </c>
      <c r="K21" s="36">
        <f t="shared" si="0"/>
        <v>1</v>
      </c>
      <c r="L21" s="68" t="s">
        <v>3</v>
      </c>
      <c r="M21" s="72">
        <f t="shared" si="1"/>
        <v>61</v>
      </c>
      <c r="N21" s="37"/>
      <c r="O21" s="34"/>
    </row>
    <row r="22" spans="1:15" s="35" customFormat="1" ht="23.1" hidden="1" customHeight="1">
      <c r="A22" s="94" t="s">
        <v>40</v>
      </c>
      <c r="B22" s="36">
        <f>COUNTIF('백련리(국공유지포함)'!$C$7:$C$501,"차")</f>
        <v>0</v>
      </c>
      <c r="C22" s="68" t="s">
        <v>3</v>
      </c>
      <c r="D22" s="72">
        <f>SUMIF('백련리(국공유지포함)'!$C$7:$C$501,"차",'백련리(국공유지포함)'!$E$7:$E$501)</f>
        <v>0</v>
      </c>
      <c r="E22" s="36">
        <f>COUNTIF('백련리(국공유지포함)'!$L$7:$L$501,"차국")</f>
        <v>0</v>
      </c>
      <c r="F22" s="68" t="s">
        <v>3</v>
      </c>
      <c r="G22" s="72">
        <f>SUMIF('백련리(국공유지포함)'!$L$7:$L$501,"차국",'백련리(국공유지포함)'!$E$7:$E$501)</f>
        <v>0</v>
      </c>
      <c r="H22" s="36">
        <f>COUNTIF('백련리(국공유지포함)'!$L$7:$L$501,"차공")</f>
        <v>0</v>
      </c>
      <c r="I22" s="68" t="s">
        <v>3</v>
      </c>
      <c r="J22" s="72">
        <f>SUMIF('백련리(국공유지포함)'!$L$7:$L$501,"차공",'백련리(국공유지포함)'!$E$7:$E$501)</f>
        <v>0</v>
      </c>
      <c r="K22" s="36">
        <f t="shared" si="0"/>
        <v>0</v>
      </c>
      <c r="L22" s="68" t="s">
        <v>3</v>
      </c>
      <c r="M22" s="72">
        <f t="shared" si="1"/>
        <v>0</v>
      </c>
      <c r="N22" s="37"/>
      <c r="O22" s="34"/>
    </row>
    <row r="23" spans="1:15" s="35" customFormat="1" ht="23.1" customHeight="1">
      <c r="A23" s="94" t="s">
        <v>17</v>
      </c>
      <c r="B23" s="36">
        <f>COUNTIF('백련리(국공유지포함)'!$C$7:$C$501,"잡")</f>
        <v>0</v>
      </c>
      <c r="C23" s="68" t="s">
        <v>3</v>
      </c>
      <c r="D23" s="72">
        <f>SUMIF('백련리(국공유지포함)'!$C$7:$C$501,"잡",'백련리(국공유지포함)'!$E$7:$E$501)</f>
        <v>0</v>
      </c>
      <c r="E23" s="36">
        <f>COUNTIF('백련리(국공유지포함)'!$L$7:$L$501,"잡국")</f>
        <v>0</v>
      </c>
      <c r="F23" s="68" t="s">
        <v>3</v>
      </c>
      <c r="G23" s="72">
        <f>SUMIF('백련리(국공유지포함)'!$L$7:$L$501,"잡국",'백련리(국공유지포함)'!$E$7:$E$501)</f>
        <v>0</v>
      </c>
      <c r="H23" s="36">
        <f>COUNTIF('백련리(국공유지포함)'!$L$7:$L$501,"잡공")</f>
        <v>0</v>
      </c>
      <c r="I23" s="68" t="s">
        <v>3</v>
      </c>
      <c r="J23" s="72">
        <f>SUMIF('백련리(국공유지포함)'!$L$7:$L$501,"잡공",'백련리(국공유지포함)'!$E$7:$E$501)</f>
        <v>0</v>
      </c>
      <c r="K23" s="36">
        <f t="shared" si="0"/>
        <v>0</v>
      </c>
      <c r="L23" s="68" t="s">
        <v>3</v>
      </c>
      <c r="M23" s="72">
        <f t="shared" si="1"/>
        <v>0</v>
      </c>
      <c r="N23" s="37"/>
      <c r="O23" s="34"/>
    </row>
    <row r="24" spans="1:15" s="35" customFormat="1" ht="23.1" hidden="1" customHeight="1">
      <c r="A24" s="94" t="s">
        <v>32</v>
      </c>
      <c r="B24" s="36">
        <f>COUNTIF('백련리(국공유지포함)'!$C$7:$C$501,"종")</f>
        <v>0</v>
      </c>
      <c r="C24" s="68" t="s">
        <v>3</v>
      </c>
      <c r="D24" s="72">
        <f>SUMIF('백련리(국공유지포함)'!$C$7:$C$501,"종",'백련리(국공유지포함)'!$E$7:$E$501)</f>
        <v>0</v>
      </c>
      <c r="E24" s="36">
        <f>COUNTIF('백련리(국공유지포함)'!$L$7:$L$501,"종국")</f>
        <v>0</v>
      </c>
      <c r="F24" s="68" t="s">
        <v>3</v>
      </c>
      <c r="G24" s="72">
        <f>SUMIF('백련리(국공유지포함)'!$L$7:$L$501,"종국",'백련리(국공유지포함)'!$E$7:$E$501)</f>
        <v>0</v>
      </c>
      <c r="H24" s="36">
        <f>COUNTIF('백련리(국공유지포함)'!$L$7:$L$501,"종공")</f>
        <v>0</v>
      </c>
      <c r="I24" s="68" t="s">
        <v>3</v>
      </c>
      <c r="J24" s="72">
        <f>SUMIF('백련리(국공유지포함)'!$L$7:$L$501,"종공",'백련리(국공유지포함)'!$E$7:$E$501)</f>
        <v>0</v>
      </c>
      <c r="K24" s="36">
        <f t="shared" si="0"/>
        <v>0</v>
      </c>
      <c r="L24" s="68" t="s">
        <v>3</v>
      </c>
      <c r="M24" s="72">
        <f t="shared" si="1"/>
        <v>0</v>
      </c>
      <c r="N24" s="37"/>
      <c r="O24" s="34"/>
    </row>
    <row r="25" spans="1:15" s="35" customFormat="1" ht="23.1" customHeight="1">
      <c r="A25" s="95" t="s">
        <v>41</v>
      </c>
      <c r="B25" s="36">
        <f>COUNTIF('백련리(국공유지포함)'!$C$7:$C$501,"주")</f>
        <v>0</v>
      </c>
      <c r="C25" s="68" t="s">
        <v>3</v>
      </c>
      <c r="D25" s="72">
        <f>SUMIF('백련리(국공유지포함)'!$C$7:$C$501,"주",'백련리(국공유지포함)'!$E$7:$E$501)</f>
        <v>0</v>
      </c>
      <c r="E25" s="36">
        <f>COUNTIF('백련리(국공유지포함)'!$L$7:$L$501,"주국")</f>
        <v>0</v>
      </c>
      <c r="F25" s="68" t="s">
        <v>3</v>
      </c>
      <c r="G25" s="72">
        <f>SUMIF('백련리(국공유지포함)'!$L$7:$L$501,"주국",'백련리(국공유지포함)'!$E$7:$E$501)</f>
        <v>0</v>
      </c>
      <c r="H25" s="36">
        <f>COUNTIF('백련리(국공유지포함)'!$L$7:$L$501,"주공")</f>
        <v>0</v>
      </c>
      <c r="I25" s="68" t="s">
        <v>3</v>
      </c>
      <c r="J25" s="72">
        <f>SUMIF('백련리(국공유지포함)'!$L$7:$L$501,"주공",'백련리(국공유지포함)'!$E$7:$E$501)</f>
        <v>0</v>
      </c>
      <c r="K25" s="36">
        <f t="shared" si="0"/>
        <v>0</v>
      </c>
      <c r="L25" s="68" t="s">
        <v>3</v>
      </c>
      <c r="M25" s="72">
        <f t="shared" si="1"/>
        <v>0</v>
      </c>
      <c r="N25" s="37"/>
      <c r="O25" s="34"/>
    </row>
    <row r="26" spans="1:15" s="35" customFormat="1" ht="23.1" customHeight="1">
      <c r="A26" s="95" t="s">
        <v>33</v>
      </c>
      <c r="B26" s="36">
        <f>COUNTIF('백련리(국공유지포함)'!$C$7:$C$501,"공")</f>
        <v>0</v>
      </c>
      <c r="C26" s="68" t="s">
        <v>3</v>
      </c>
      <c r="D26" s="72">
        <f>SUMIF('백련리(국공유지포함)'!$C$7:$C$501,"공",'백련리(국공유지포함)'!$E$7:$E$501)</f>
        <v>0</v>
      </c>
      <c r="E26" s="36">
        <f>COUNTIF('백련리(국공유지포함)'!$L$7:$L$501,"공국")</f>
        <v>0</v>
      </c>
      <c r="F26" s="68" t="s">
        <v>3</v>
      </c>
      <c r="G26" s="72">
        <f>SUMIF('백련리(국공유지포함)'!$L$7:$L$501,"공국",'백련리(국공유지포함)'!$E$7:$E$501)</f>
        <v>0</v>
      </c>
      <c r="H26" s="36">
        <f>COUNTIF('백련리(국공유지포함)'!$L$7:$L$501,"공공")</f>
        <v>0</v>
      </c>
      <c r="I26" s="68" t="s">
        <v>3</v>
      </c>
      <c r="J26" s="72">
        <f>SUMIF('백련리(국공유지포함)'!$L$7:$L$501,"공공",'백련리(국공유지포함)'!$E$7:$E$501)</f>
        <v>0</v>
      </c>
      <c r="K26" s="36">
        <f t="shared" si="0"/>
        <v>0</v>
      </c>
      <c r="L26" s="68" t="s">
        <v>3</v>
      </c>
      <c r="M26" s="72">
        <f t="shared" si="1"/>
        <v>0</v>
      </c>
      <c r="N26" s="37"/>
      <c r="O26" s="34"/>
    </row>
    <row r="27" spans="1:15" s="35" customFormat="1" ht="23.1" hidden="1" customHeight="1">
      <c r="A27" s="95" t="s">
        <v>34</v>
      </c>
      <c r="B27" s="36">
        <f>COUNTIF('백련리(국공유지포함)'!$C$7:$C$501,"체")</f>
        <v>0</v>
      </c>
      <c r="C27" s="68" t="s">
        <v>3</v>
      </c>
      <c r="D27" s="72">
        <f>SUMIF('백련리(국공유지포함)'!$C$7:$C$501,"체",'백련리(국공유지포함)'!$E$7:$E$501)</f>
        <v>0</v>
      </c>
      <c r="E27" s="36">
        <f>COUNTIF('백련리(국공유지포함)'!$L$7:$L$501,"체국")</f>
        <v>0</v>
      </c>
      <c r="F27" s="68" t="s">
        <v>3</v>
      </c>
      <c r="G27" s="72">
        <f>SUMIF('백련리(국공유지포함)'!$L$7:$L$501,"체국",'백련리(국공유지포함)'!$E$7:$E$501)</f>
        <v>0</v>
      </c>
      <c r="H27" s="36">
        <f>COUNTIF('백련리(국공유지포함)'!$L$7:$L$501,"체공")</f>
        <v>0</v>
      </c>
      <c r="I27" s="68" t="s">
        <v>3</v>
      </c>
      <c r="J27" s="72">
        <f>SUMIF('백련리(국공유지포함)'!$L$7:$L$501,"체공",'백련리(국공유지포함)'!$E$7:$E$501)</f>
        <v>0</v>
      </c>
      <c r="K27" s="36">
        <f t="shared" si="0"/>
        <v>0</v>
      </c>
      <c r="L27" s="68" t="s">
        <v>3</v>
      </c>
      <c r="M27" s="72">
        <f t="shared" si="1"/>
        <v>0</v>
      </c>
      <c r="N27" s="37"/>
      <c r="O27" s="34"/>
    </row>
    <row r="28" spans="1:15" s="35" customFormat="1" ht="23.1" hidden="1" customHeight="1">
      <c r="A28" s="95" t="s">
        <v>54</v>
      </c>
      <c r="B28" s="36">
        <f>COUNTIF('백련리(국공유지포함)'!$C$7:$C$501,"염")</f>
        <v>0</v>
      </c>
      <c r="C28" s="68" t="s">
        <v>3</v>
      </c>
      <c r="D28" s="72">
        <f>SUMIF('백련리(국공유지포함)'!$C$7:$C$501,"염",'백련리(국공유지포함)'!$E$7:$E$501)</f>
        <v>0</v>
      </c>
      <c r="E28" s="36">
        <f>COUNTIF('백련리(국공유지포함)'!$L$7:$L$501,"염국")</f>
        <v>0</v>
      </c>
      <c r="F28" s="68" t="s">
        <v>3</v>
      </c>
      <c r="G28" s="72">
        <f>SUMIF('백련리(국공유지포함)'!$L$7:$L$501,"염국",'백련리(국공유지포함)'!$E$7:$E$501)</f>
        <v>0</v>
      </c>
      <c r="H28" s="36">
        <f>COUNTIF('백련리(국공유지포함)'!$L$7:$L$501,"염공")</f>
        <v>0</v>
      </c>
      <c r="I28" s="68" t="s">
        <v>3</v>
      </c>
      <c r="J28" s="72">
        <f>SUMIF('백련리(국공유지포함)'!$L$7:$L$501,"염공",'백련리(국공유지포함)'!$E$7:$E$501)</f>
        <v>0</v>
      </c>
      <c r="K28" s="36">
        <f t="shared" si="0"/>
        <v>0</v>
      </c>
      <c r="L28" s="68" t="s">
        <v>3</v>
      </c>
      <c r="M28" s="72">
        <f t="shared" si="1"/>
        <v>0</v>
      </c>
      <c r="N28" s="37"/>
      <c r="O28" s="34"/>
    </row>
    <row r="29" spans="1:15" s="35" customFormat="1" ht="23.1" customHeight="1">
      <c r="A29" s="95" t="s">
        <v>42</v>
      </c>
      <c r="B29" s="36">
        <f>COUNTIF('백련리(국공유지포함)'!$C$7:$C$501,"수")</f>
        <v>0</v>
      </c>
      <c r="C29" s="68" t="s">
        <v>3</v>
      </c>
      <c r="D29" s="72">
        <f>SUMIF('백련리(국공유지포함)'!$C$7:$C$501,"수",'백련리(국공유지포함)'!$E$7:$E$501)</f>
        <v>0</v>
      </c>
      <c r="E29" s="36">
        <f>COUNTIF('백련리(국공유지포함)'!$L$7:$L$501,"수국")</f>
        <v>0</v>
      </c>
      <c r="F29" s="68" t="s">
        <v>3</v>
      </c>
      <c r="G29" s="72">
        <f>SUMIF('백련리(국공유지포함)'!$L$7:$L$501,"수국",'백련리(국공유지포함)'!$E$7:$E$501)</f>
        <v>0</v>
      </c>
      <c r="H29" s="36">
        <f>COUNTIF('백련리(국공유지포함)'!$L$7:$L$501,"수공")</f>
        <v>0</v>
      </c>
      <c r="I29" s="68" t="s">
        <v>3</v>
      </c>
      <c r="J29" s="72">
        <f>SUMIF('백련리(국공유지포함)'!$L$7:$L$501,"수공",'백련리(국공유지포함)'!$E$7:$E$501)</f>
        <v>0</v>
      </c>
      <c r="K29" s="36">
        <f t="shared" si="0"/>
        <v>0</v>
      </c>
      <c r="L29" s="68" t="s">
        <v>3</v>
      </c>
      <c r="M29" s="72">
        <f t="shared" si="1"/>
        <v>0</v>
      </c>
      <c r="N29" s="37"/>
      <c r="O29" s="34"/>
    </row>
    <row r="30" spans="1:15" s="35" customFormat="1" ht="23.1" customHeight="1">
      <c r="A30" s="95" t="s">
        <v>43</v>
      </c>
      <c r="B30" s="36">
        <f>COUNTIF('백련리(국공유지포함)'!$C$7:$C$501,"창")</f>
        <v>0</v>
      </c>
      <c r="C30" s="68" t="s">
        <v>3</v>
      </c>
      <c r="D30" s="72">
        <f>SUMIF('백련리(국공유지포함)'!$C$7:$C$501,"창",'백련리(국공유지포함)'!$E$7:$E$501)</f>
        <v>0</v>
      </c>
      <c r="E30" s="36">
        <f>COUNTIF('백련리(국공유지포함)'!$L$7:$L$501,"창국")</f>
        <v>0</v>
      </c>
      <c r="F30" s="68" t="s">
        <v>3</v>
      </c>
      <c r="G30" s="72">
        <f>SUMIF('백련리(국공유지포함)'!$L$7:$L$501,"창국",'백련리(국공유지포함)'!$E$7:$E$501)</f>
        <v>0</v>
      </c>
      <c r="H30" s="36">
        <f>COUNTIF('백련리(국공유지포함)'!$L$7:$L$501,"창공")</f>
        <v>0</v>
      </c>
      <c r="I30" s="68" t="s">
        <v>3</v>
      </c>
      <c r="J30" s="72">
        <f>SUMIF('백련리(국공유지포함)'!$L$7:$L$501,"창공",'백련리(국공유지포함)'!$E$7:$E$501)</f>
        <v>0</v>
      </c>
      <c r="K30" s="36">
        <f t="shared" si="0"/>
        <v>0</v>
      </c>
      <c r="L30" s="68" t="s">
        <v>3</v>
      </c>
      <c r="M30" s="72">
        <f t="shared" si="1"/>
        <v>0</v>
      </c>
      <c r="N30" s="37"/>
      <c r="O30" s="34"/>
    </row>
    <row r="31" spans="1:15" s="35" customFormat="1" ht="23.1" customHeight="1">
      <c r="A31" s="96" t="s">
        <v>167</v>
      </c>
      <c r="B31" s="38">
        <f>COUNTIF('백련리(국공유지포함)'!$C$7:$C$501,"해")</f>
        <v>1</v>
      </c>
      <c r="C31" s="69" t="s">
        <v>3</v>
      </c>
      <c r="D31" s="73">
        <f>SUMIF('백련리(국공유지포함)'!$C$7:$C$501,"해",'백련리(국공유지포함)'!$E$7:$E$501)</f>
        <v>660039</v>
      </c>
      <c r="E31" s="38">
        <f>COUNTIF('백련리(국공유지포함)'!$L$7:$L$501,"해국")</f>
        <v>1</v>
      </c>
      <c r="F31" s="69" t="s">
        <v>3</v>
      </c>
      <c r="G31" s="73">
        <f>SUMIF('백련리(국공유지포함)'!$L$7:$L$501,"해국",'백련리(국공유지포함)'!$E$7:$E$501)</f>
        <v>660039</v>
      </c>
      <c r="H31" s="38">
        <f>COUNTIF('백련리(국공유지포함)'!$L$7:$L$501,"해공")</f>
        <v>0</v>
      </c>
      <c r="I31" s="69" t="s">
        <v>3</v>
      </c>
      <c r="J31" s="73">
        <f>SUMIF('백련리(국공유지포함)'!$L$7:$L$501,"해공",'백련리(국공유지포함)'!$E$7:$E$501)</f>
        <v>0</v>
      </c>
      <c r="K31" s="38">
        <f t="shared" si="0"/>
        <v>0</v>
      </c>
      <c r="L31" s="69" t="s">
        <v>3</v>
      </c>
      <c r="M31" s="73">
        <f t="shared" si="1"/>
        <v>0</v>
      </c>
      <c r="N31" s="39"/>
      <c r="O31" s="34"/>
    </row>
    <row r="32" spans="1:15">
      <c r="A32" s="97"/>
    </row>
    <row r="33" spans="1:1">
      <c r="A33" s="97"/>
    </row>
    <row r="34" spans="1:1">
      <c r="A34" s="97"/>
    </row>
    <row r="35" spans="1:1">
      <c r="A35" s="97"/>
    </row>
    <row r="36" spans="1:1">
      <c r="A36" s="97"/>
    </row>
    <row r="37" spans="1:1">
      <c r="A37" s="97"/>
    </row>
  </sheetData>
  <mergeCells count="4">
    <mergeCell ref="E4:G4"/>
    <mergeCell ref="H4:J4"/>
    <mergeCell ref="N4:N5"/>
    <mergeCell ref="A4:A5"/>
  </mergeCells>
  <phoneticPr fontId="6" type="noConversion"/>
  <printOptions horizontalCentered="1" verticalCentered="1"/>
  <pageMargins left="0.39370078740157483" right="0.39370078740157483" top="0.39370078740157483" bottom="0.39370078740157483" header="0.19685039370078741" footer="0.19685039370078741"/>
  <pageSetup paperSize="9" fitToHeight="0" orientation="landscape" r:id="rId1"/>
  <headerFooter alignWithMargins="0">
    <oddFooter>&amp;R&amp;P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7"/>
  <sheetViews>
    <sheetView showGridLines="0" showZeros="0" view="pageBreakPreview" zoomScaleNormal="100" zoomScaleSheetLayoutView="100" workbookViewId="0">
      <pane ySplit="6" topLeftCell="A7" activePane="bottomLeft" state="frozen"/>
      <selection activeCell="A31" sqref="A31"/>
      <selection pane="bottomLeft" activeCell="G13" sqref="G13"/>
    </sheetView>
  </sheetViews>
  <sheetFormatPr defaultRowHeight="11.25"/>
  <cols>
    <col min="1" max="1" width="4.21875" style="1" customWidth="1"/>
    <col min="2" max="2" width="7.33203125" style="5" customWidth="1"/>
    <col min="3" max="3" width="4.5546875" style="1" customWidth="1"/>
    <col min="4" max="4" width="8.77734375" style="77" customWidth="1"/>
    <col min="5" max="5" width="8.77734375" style="78" customWidth="1"/>
    <col min="6" max="6" width="8.109375" style="46" customWidth="1"/>
    <col min="7" max="7" width="40.5546875" style="1" customWidth="1"/>
    <col min="8" max="8" width="13.77734375" style="1" bestFit="1" customWidth="1"/>
    <col min="9" max="9" width="26.77734375" style="1" bestFit="1" customWidth="1"/>
    <col min="10" max="10" width="8.21875" style="1" customWidth="1"/>
    <col min="11" max="11" width="6.21875" style="1" customWidth="1"/>
    <col min="12" max="12" width="10.77734375" style="8" hidden="1" customWidth="1"/>
    <col min="13" max="13" width="10.77734375" style="84" hidden="1" customWidth="1"/>
    <col min="14" max="15" width="0" style="1" hidden="1" customWidth="1"/>
    <col min="16" max="16" width="0" style="86" hidden="1" customWidth="1"/>
    <col min="17" max="19" width="0" style="1" hidden="1" customWidth="1"/>
    <col min="20" max="16384" width="8.88671875" style="1"/>
  </cols>
  <sheetData>
    <row r="1" spans="1:16" ht="30" customHeight="1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6"/>
    </row>
    <row r="2" spans="1:16" ht="19.899999999999999" customHeight="1">
      <c r="A2" s="93" t="s">
        <v>185</v>
      </c>
      <c r="B2" s="4"/>
      <c r="C2" s="3"/>
      <c r="D2" s="74"/>
      <c r="E2" s="75"/>
      <c r="F2" s="48"/>
      <c r="H2" s="91"/>
      <c r="I2" s="91"/>
      <c r="J2" s="91"/>
      <c r="K2" s="92" t="s">
        <v>186</v>
      </c>
      <c r="L2" s="2"/>
    </row>
    <row r="3" spans="1:16" ht="10.15" customHeight="1">
      <c r="A3" s="3"/>
      <c r="B3" s="4"/>
      <c r="C3" s="3"/>
      <c r="D3" s="74"/>
      <c r="E3" s="75"/>
      <c r="F3" s="48"/>
      <c r="G3" s="3"/>
      <c r="H3" s="3"/>
      <c r="I3" s="3"/>
      <c r="J3" s="3"/>
      <c r="K3" s="3"/>
      <c r="L3" s="6"/>
    </row>
    <row r="4" spans="1:16" ht="30" customHeight="1">
      <c r="A4" s="111" t="s">
        <v>21</v>
      </c>
      <c r="B4" s="154" t="s">
        <v>55</v>
      </c>
      <c r="C4" s="111" t="s">
        <v>22</v>
      </c>
      <c r="D4" s="112" t="s">
        <v>23</v>
      </c>
      <c r="E4" s="112" t="s">
        <v>24</v>
      </c>
      <c r="F4" s="113" t="s">
        <v>25</v>
      </c>
      <c r="G4" s="113"/>
      <c r="H4" s="113" t="s">
        <v>26</v>
      </c>
      <c r="I4" s="113"/>
      <c r="J4" s="113"/>
      <c r="K4" s="111" t="s">
        <v>19</v>
      </c>
      <c r="L4" s="56"/>
    </row>
    <row r="5" spans="1:16" ht="30" customHeight="1">
      <c r="A5" s="114" t="s">
        <v>27</v>
      </c>
      <c r="B5" s="155"/>
      <c r="C5" s="115"/>
      <c r="D5" s="116" t="s">
        <v>45</v>
      </c>
      <c r="E5" s="116" t="s">
        <v>45</v>
      </c>
      <c r="F5" s="117" t="s">
        <v>28</v>
      </c>
      <c r="G5" s="117" t="s">
        <v>29</v>
      </c>
      <c r="H5" s="118" t="s">
        <v>28</v>
      </c>
      <c r="I5" s="118" t="s">
        <v>29</v>
      </c>
      <c r="J5" s="118" t="s">
        <v>30</v>
      </c>
      <c r="K5" s="114"/>
      <c r="L5" s="2" t="s">
        <v>53</v>
      </c>
      <c r="M5" s="84" t="s">
        <v>61</v>
      </c>
    </row>
    <row r="6" spans="1:16" s="55" customFormat="1" ht="30" customHeight="1">
      <c r="A6" s="119"/>
      <c r="B6" s="120" t="s">
        <v>56</v>
      </c>
      <c r="C6" s="121"/>
      <c r="D6" s="122">
        <f>SUBTOTAL(3,$B$7:$B$501)</f>
        <v>95</v>
      </c>
      <c r="E6" s="123">
        <f>SUBTOTAL(9,$E$7:$E$501)</f>
        <v>697008</v>
      </c>
      <c r="F6" s="124"/>
      <c r="G6" s="125"/>
      <c r="H6" s="126"/>
      <c r="I6" s="126"/>
      <c r="J6" s="126"/>
      <c r="K6" s="127"/>
      <c r="L6" s="54"/>
      <c r="M6" s="85"/>
    </row>
    <row r="7" spans="1:16" ht="30" customHeight="1">
      <c r="A7" s="7">
        <v>1</v>
      </c>
      <c r="B7" s="60" t="s">
        <v>68</v>
      </c>
      <c r="C7" s="40" t="s">
        <v>58</v>
      </c>
      <c r="D7" s="76">
        <v>3630</v>
      </c>
      <c r="E7" s="76">
        <v>583</v>
      </c>
      <c r="F7" s="47" t="s">
        <v>60</v>
      </c>
      <c r="G7" s="88" t="s">
        <v>62</v>
      </c>
      <c r="H7" s="87">
        <v>0</v>
      </c>
      <c r="I7" s="87">
        <v>0</v>
      </c>
      <c r="J7" s="87">
        <v>0</v>
      </c>
      <c r="K7" s="128"/>
      <c r="L7" s="57" t="str">
        <f>CONCATENATE(C7,F7)</f>
        <v>도국</v>
      </c>
      <c r="M7" s="84">
        <f>D7-E7</f>
        <v>3047</v>
      </c>
      <c r="P7" s="86" t="s">
        <v>184</v>
      </c>
    </row>
    <row r="8" spans="1:16" ht="30" customHeight="1">
      <c r="A8" s="7">
        <f>A7+1</f>
        <v>2</v>
      </c>
      <c r="B8" s="60" t="s">
        <v>77</v>
      </c>
      <c r="C8" s="40" t="s">
        <v>58</v>
      </c>
      <c r="D8" s="76">
        <v>548</v>
      </c>
      <c r="E8" s="76">
        <v>548</v>
      </c>
      <c r="F8" s="47" t="s">
        <v>60</v>
      </c>
      <c r="G8" s="88" t="s">
        <v>62</v>
      </c>
      <c r="H8" s="87">
        <v>0</v>
      </c>
      <c r="I8" s="87">
        <v>0</v>
      </c>
      <c r="J8" s="87">
        <v>0</v>
      </c>
      <c r="K8" s="128"/>
      <c r="L8" s="57" t="str">
        <f t="shared" ref="L8:L71" si="0">CONCATENATE(C8,F8)</f>
        <v>도국</v>
      </c>
      <c r="M8" s="84">
        <f t="shared" ref="M8:M71" si="1">D8-E8</f>
        <v>0</v>
      </c>
      <c r="P8" s="86" t="s">
        <v>184</v>
      </c>
    </row>
    <row r="9" spans="1:16" ht="30" customHeight="1">
      <c r="A9" s="7">
        <f t="shared" ref="A9:A74" si="2">A8+1</f>
        <v>3</v>
      </c>
      <c r="B9" s="60" t="s">
        <v>79</v>
      </c>
      <c r="C9" s="40" t="s">
        <v>58</v>
      </c>
      <c r="D9" s="76">
        <v>554</v>
      </c>
      <c r="E9" s="76">
        <v>554</v>
      </c>
      <c r="F9" s="47" t="s">
        <v>60</v>
      </c>
      <c r="G9" s="88" t="s">
        <v>62</v>
      </c>
      <c r="H9" s="87">
        <v>0</v>
      </c>
      <c r="I9" s="87">
        <v>0</v>
      </c>
      <c r="J9" s="87">
        <v>0</v>
      </c>
      <c r="K9" s="128"/>
      <c r="L9" s="57" t="str">
        <f t="shared" si="0"/>
        <v>도국</v>
      </c>
      <c r="M9" s="84">
        <f t="shared" si="1"/>
        <v>0</v>
      </c>
      <c r="P9" s="86" t="s">
        <v>184</v>
      </c>
    </row>
    <row r="10" spans="1:16" ht="30" customHeight="1">
      <c r="A10" s="7">
        <f t="shared" si="2"/>
        <v>4</v>
      </c>
      <c r="B10" s="60" t="s">
        <v>81</v>
      </c>
      <c r="C10" s="40" t="s">
        <v>58</v>
      </c>
      <c r="D10" s="76">
        <v>571</v>
      </c>
      <c r="E10" s="76">
        <v>571</v>
      </c>
      <c r="F10" s="47" t="s">
        <v>60</v>
      </c>
      <c r="G10" s="88" t="s">
        <v>62</v>
      </c>
      <c r="H10" s="87">
        <v>0</v>
      </c>
      <c r="I10" s="87">
        <v>0</v>
      </c>
      <c r="J10" s="87">
        <v>0</v>
      </c>
      <c r="K10" s="128"/>
      <c r="L10" s="57" t="str">
        <f t="shared" si="0"/>
        <v>도국</v>
      </c>
      <c r="M10" s="84">
        <f t="shared" si="1"/>
        <v>0</v>
      </c>
      <c r="P10" s="86" t="s">
        <v>184</v>
      </c>
    </row>
    <row r="11" spans="1:16" ht="30" customHeight="1">
      <c r="A11" s="7">
        <f t="shared" si="2"/>
        <v>5</v>
      </c>
      <c r="B11" s="60" t="s">
        <v>80</v>
      </c>
      <c r="C11" s="40" t="s">
        <v>58</v>
      </c>
      <c r="D11" s="76">
        <v>447</v>
      </c>
      <c r="E11" s="76">
        <v>91</v>
      </c>
      <c r="F11" s="47" t="s">
        <v>60</v>
      </c>
      <c r="G11" s="88" t="s">
        <v>148</v>
      </c>
      <c r="H11" s="87">
        <v>0</v>
      </c>
      <c r="I11" s="87">
        <v>0</v>
      </c>
      <c r="J11" s="87">
        <v>0</v>
      </c>
      <c r="K11" s="128"/>
      <c r="L11" s="57" t="str">
        <f t="shared" si="0"/>
        <v>도국</v>
      </c>
      <c r="M11" s="84">
        <f t="shared" si="1"/>
        <v>356</v>
      </c>
      <c r="P11" s="86" t="s">
        <v>184</v>
      </c>
    </row>
    <row r="12" spans="1:16" ht="30" customHeight="1">
      <c r="A12" s="7">
        <f t="shared" si="2"/>
        <v>6</v>
      </c>
      <c r="B12" s="60" t="s">
        <v>83</v>
      </c>
      <c r="C12" s="40" t="s">
        <v>59</v>
      </c>
      <c r="D12" s="76">
        <v>298</v>
      </c>
      <c r="E12" s="76">
        <v>59</v>
      </c>
      <c r="F12" s="47" t="s">
        <v>60</v>
      </c>
      <c r="G12" s="88" t="s">
        <v>148</v>
      </c>
      <c r="H12" s="87">
        <v>0</v>
      </c>
      <c r="I12" s="87">
        <v>0</v>
      </c>
      <c r="J12" s="87">
        <v>0</v>
      </c>
      <c r="K12" s="128"/>
      <c r="L12" s="57" t="str">
        <f t="shared" si="0"/>
        <v>임국</v>
      </c>
      <c r="M12" s="84">
        <f t="shared" si="1"/>
        <v>239</v>
      </c>
      <c r="P12" s="86" t="s">
        <v>184</v>
      </c>
    </row>
    <row r="13" spans="1:16" ht="30" customHeight="1">
      <c r="A13" s="7">
        <f t="shared" si="2"/>
        <v>7</v>
      </c>
      <c r="B13" s="61" t="s">
        <v>84</v>
      </c>
      <c r="C13" s="40" t="s">
        <v>58</v>
      </c>
      <c r="D13" s="76">
        <v>100</v>
      </c>
      <c r="E13" s="76">
        <v>100</v>
      </c>
      <c r="F13" s="47" t="s">
        <v>168</v>
      </c>
      <c r="G13" s="88" t="s">
        <v>169</v>
      </c>
      <c r="H13" s="87">
        <v>0</v>
      </c>
      <c r="I13" s="87">
        <v>0</v>
      </c>
      <c r="J13" s="87">
        <v>0</v>
      </c>
      <c r="K13" s="128"/>
      <c r="L13" s="57" t="str">
        <f t="shared" si="0"/>
        <v>도공</v>
      </c>
      <c r="M13" s="84">
        <f t="shared" si="1"/>
        <v>0</v>
      </c>
      <c r="P13" s="86" t="s">
        <v>184</v>
      </c>
    </row>
    <row r="14" spans="1:16" ht="30" customHeight="1">
      <c r="A14" s="7">
        <f t="shared" si="2"/>
        <v>8</v>
      </c>
      <c r="B14" s="61" t="s">
        <v>85</v>
      </c>
      <c r="C14" s="40" t="s">
        <v>58</v>
      </c>
      <c r="D14" s="76">
        <v>1520</v>
      </c>
      <c r="E14" s="76">
        <v>1520</v>
      </c>
      <c r="F14" s="47" t="s">
        <v>60</v>
      </c>
      <c r="G14" s="88" t="s">
        <v>62</v>
      </c>
      <c r="H14" s="87">
        <v>0</v>
      </c>
      <c r="I14" s="87">
        <v>0</v>
      </c>
      <c r="J14" s="87">
        <v>0</v>
      </c>
      <c r="K14" s="128"/>
      <c r="L14" s="57" t="str">
        <f t="shared" si="0"/>
        <v>도국</v>
      </c>
      <c r="M14" s="84">
        <f t="shared" si="1"/>
        <v>0</v>
      </c>
      <c r="P14" s="86" t="s">
        <v>184</v>
      </c>
    </row>
    <row r="15" spans="1:16" ht="30" customHeight="1">
      <c r="A15" s="7">
        <f t="shared" si="2"/>
        <v>9</v>
      </c>
      <c r="B15" s="61" t="s">
        <v>86</v>
      </c>
      <c r="C15" s="40" t="s">
        <v>58</v>
      </c>
      <c r="D15" s="76">
        <v>35</v>
      </c>
      <c r="E15" s="76">
        <v>35</v>
      </c>
      <c r="F15" s="47" t="s">
        <v>168</v>
      </c>
      <c r="G15" s="88" t="s">
        <v>169</v>
      </c>
      <c r="H15" s="87">
        <v>0</v>
      </c>
      <c r="I15" s="87">
        <v>0</v>
      </c>
      <c r="J15" s="87">
        <v>0</v>
      </c>
      <c r="K15" s="128"/>
      <c r="L15" s="57" t="str">
        <f t="shared" si="0"/>
        <v>도공</v>
      </c>
      <c r="M15" s="84">
        <f t="shared" si="1"/>
        <v>0</v>
      </c>
      <c r="P15" s="86" t="s">
        <v>184</v>
      </c>
    </row>
    <row r="16" spans="1:16" ht="30" customHeight="1">
      <c r="A16" s="7">
        <f t="shared" si="2"/>
        <v>10</v>
      </c>
      <c r="B16" s="60" t="s">
        <v>87</v>
      </c>
      <c r="C16" s="40" t="s">
        <v>59</v>
      </c>
      <c r="D16" s="76">
        <v>166</v>
      </c>
      <c r="E16" s="76">
        <v>166</v>
      </c>
      <c r="F16" s="47" t="s">
        <v>60</v>
      </c>
      <c r="G16" s="88" t="s">
        <v>155</v>
      </c>
      <c r="H16" s="87">
        <v>0</v>
      </c>
      <c r="I16" s="87">
        <v>0</v>
      </c>
      <c r="J16" s="87">
        <v>0</v>
      </c>
      <c r="K16" s="128"/>
      <c r="L16" s="57" t="str">
        <f t="shared" si="0"/>
        <v>임국</v>
      </c>
      <c r="M16" s="84">
        <f t="shared" si="1"/>
        <v>0</v>
      </c>
      <c r="P16" s="86" t="s">
        <v>184</v>
      </c>
    </row>
    <row r="17" spans="1:16" ht="30" customHeight="1">
      <c r="A17" s="7">
        <f t="shared" si="2"/>
        <v>11</v>
      </c>
      <c r="B17" s="60" t="s">
        <v>88</v>
      </c>
      <c r="C17" s="40" t="s">
        <v>58</v>
      </c>
      <c r="D17" s="76">
        <v>390</v>
      </c>
      <c r="E17" s="76">
        <v>386</v>
      </c>
      <c r="F17" s="47" t="s">
        <v>60</v>
      </c>
      <c r="G17" s="88" t="s">
        <v>62</v>
      </c>
      <c r="H17" s="87">
        <v>0</v>
      </c>
      <c r="I17" s="87">
        <v>0</v>
      </c>
      <c r="J17" s="87">
        <v>0</v>
      </c>
      <c r="K17" s="128"/>
      <c r="L17" s="57" t="str">
        <f t="shared" si="0"/>
        <v>도국</v>
      </c>
      <c r="M17" s="84">
        <f t="shared" si="1"/>
        <v>4</v>
      </c>
      <c r="P17" s="86" t="s">
        <v>184</v>
      </c>
    </row>
    <row r="18" spans="1:16" ht="30" customHeight="1">
      <c r="A18" s="7">
        <f t="shared" si="2"/>
        <v>12</v>
      </c>
      <c r="B18" s="60" t="s">
        <v>90</v>
      </c>
      <c r="C18" s="40" t="s">
        <v>58</v>
      </c>
      <c r="D18" s="76">
        <v>24</v>
      </c>
      <c r="E18" s="76">
        <v>24</v>
      </c>
      <c r="F18" s="47" t="s">
        <v>60</v>
      </c>
      <c r="G18" s="88" t="s">
        <v>62</v>
      </c>
      <c r="H18" s="87">
        <v>0</v>
      </c>
      <c r="I18" s="87">
        <v>0</v>
      </c>
      <c r="J18" s="87">
        <v>0</v>
      </c>
      <c r="K18" s="128"/>
      <c r="L18" s="57" t="str">
        <f t="shared" si="0"/>
        <v>도국</v>
      </c>
      <c r="M18" s="84">
        <f t="shared" si="1"/>
        <v>0</v>
      </c>
      <c r="P18" s="86" t="s">
        <v>184</v>
      </c>
    </row>
    <row r="19" spans="1:16" ht="30" customHeight="1">
      <c r="A19" s="7">
        <f t="shared" si="2"/>
        <v>13</v>
      </c>
      <c r="B19" s="60" t="s">
        <v>91</v>
      </c>
      <c r="C19" s="40" t="s">
        <v>5</v>
      </c>
      <c r="D19" s="76">
        <v>79</v>
      </c>
      <c r="E19" s="76">
        <v>79</v>
      </c>
      <c r="F19" s="47" t="s">
        <v>196</v>
      </c>
      <c r="G19" s="88" t="s">
        <v>190</v>
      </c>
      <c r="H19" s="87">
        <v>0</v>
      </c>
      <c r="I19" s="87">
        <v>0</v>
      </c>
      <c r="J19" s="87">
        <v>0</v>
      </c>
      <c r="K19" s="129" t="s">
        <v>188</v>
      </c>
      <c r="L19" s="57" t="str">
        <f t="shared" si="0"/>
        <v>전김형*</v>
      </c>
      <c r="M19" s="84">
        <f t="shared" si="1"/>
        <v>0</v>
      </c>
      <c r="P19" s="86" t="s">
        <v>183</v>
      </c>
    </row>
    <row r="20" spans="1:16" ht="30" customHeight="1">
      <c r="A20" s="7">
        <f t="shared" si="2"/>
        <v>14</v>
      </c>
      <c r="B20" s="60" t="s">
        <v>92</v>
      </c>
      <c r="C20" s="40" t="s">
        <v>58</v>
      </c>
      <c r="D20" s="76">
        <v>17</v>
      </c>
      <c r="E20" s="76">
        <v>17</v>
      </c>
      <c r="F20" s="47" t="s">
        <v>197</v>
      </c>
      <c r="G20" s="88" t="s">
        <v>170</v>
      </c>
      <c r="H20" s="87">
        <v>0</v>
      </c>
      <c r="I20" s="87">
        <v>0</v>
      </c>
      <c r="J20" s="87">
        <v>0</v>
      </c>
      <c r="K20" s="129" t="s">
        <v>188</v>
      </c>
      <c r="L20" s="57" t="str">
        <f t="shared" si="0"/>
        <v>도김영*</v>
      </c>
      <c r="M20" s="84">
        <f t="shared" si="1"/>
        <v>0</v>
      </c>
      <c r="P20" s="86" t="s">
        <v>183</v>
      </c>
    </row>
    <row r="21" spans="1:16" ht="30" customHeight="1">
      <c r="A21" s="7">
        <f t="shared" si="2"/>
        <v>15</v>
      </c>
      <c r="B21" s="60" t="s">
        <v>95</v>
      </c>
      <c r="C21" s="40" t="s">
        <v>96</v>
      </c>
      <c r="D21" s="76">
        <v>61</v>
      </c>
      <c r="E21" s="76">
        <v>61</v>
      </c>
      <c r="F21" s="47" t="s">
        <v>198</v>
      </c>
      <c r="G21" s="88" t="s">
        <v>149</v>
      </c>
      <c r="H21" s="87">
        <v>0</v>
      </c>
      <c r="I21" s="87">
        <v>0</v>
      </c>
      <c r="J21" s="87">
        <v>0</v>
      </c>
      <c r="K21" s="129" t="s">
        <v>188</v>
      </c>
      <c r="L21" s="57" t="str">
        <f t="shared" si="0"/>
        <v>묘윤락*</v>
      </c>
      <c r="M21" s="84">
        <f t="shared" si="1"/>
        <v>0</v>
      </c>
      <c r="P21" s="86" t="s">
        <v>183</v>
      </c>
    </row>
    <row r="22" spans="1:16" ht="30" customHeight="1">
      <c r="A22" s="7">
        <f t="shared" si="2"/>
        <v>16</v>
      </c>
      <c r="B22" s="60" t="s">
        <v>94</v>
      </c>
      <c r="C22" s="40" t="s">
        <v>5</v>
      </c>
      <c r="D22" s="76">
        <v>27</v>
      </c>
      <c r="E22" s="76">
        <v>27</v>
      </c>
      <c r="F22" s="47" t="s">
        <v>196</v>
      </c>
      <c r="G22" s="88" t="s">
        <v>190</v>
      </c>
      <c r="H22" s="87">
        <v>0</v>
      </c>
      <c r="I22" s="87">
        <v>0</v>
      </c>
      <c r="J22" s="87">
        <v>0</v>
      </c>
      <c r="K22" s="129" t="s">
        <v>188</v>
      </c>
      <c r="L22" s="57" t="str">
        <f t="shared" si="0"/>
        <v>전김형*</v>
      </c>
      <c r="M22" s="84">
        <f t="shared" si="1"/>
        <v>0</v>
      </c>
      <c r="P22" s="86" t="s">
        <v>183</v>
      </c>
    </row>
    <row r="23" spans="1:16" ht="30" customHeight="1">
      <c r="A23" s="7">
        <f t="shared" si="2"/>
        <v>17</v>
      </c>
      <c r="B23" s="60" t="s">
        <v>97</v>
      </c>
      <c r="C23" s="40" t="s">
        <v>58</v>
      </c>
      <c r="D23" s="76">
        <v>32</v>
      </c>
      <c r="E23" s="76">
        <v>32</v>
      </c>
      <c r="F23" s="47" t="s">
        <v>60</v>
      </c>
      <c r="G23" s="88" t="s">
        <v>62</v>
      </c>
      <c r="H23" s="87">
        <v>0</v>
      </c>
      <c r="I23" s="87">
        <v>0</v>
      </c>
      <c r="J23" s="87">
        <v>0</v>
      </c>
      <c r="K23" s="128"/>
      <c r="L23" s="57" t="str">
        <f t="shared" si="0"/>
        <v>도국</v>
      </c>
      <c r="M23" s="84">
        <f t="shared" si="1"/>
        <v>0</v>
      </c>
      <c r="P23" s="86" t="s">
        <v>184</v>
      </c>
    </row>
    <row r="24" spans="1:16" ht="30" customHeight="1">
      <c r="A24" s="7">
        <f t="shared" si="2"/>
        <v>18</v>
      </c>
      <c r="B24" s="60" t="s">
        <v>98</v>
      </c>
      <c r="C24" s="40" t="s">
        <v>58</v>
      </c>
      <c r="D24" s="76">
        <v>186</v>
      </c>
      <c r="E24" s="76">
        <v>186</v>
      </c>
      <c r="F24" s="47" t="s">
        <v>197</v>
      </c>
      <c r="G24" s="88" t="s">
        <v>170</v>
      </c>
      <c r="H24" s="87">
        <v>0</v>
      </c>
      <c r="I24" s="87">
        <v>0</v>
      </c>
      <c r="J24" s="87">
        <v>0</v>
      </c>
      <c r="K24" s="129" t="s">
        <v>188</v>
      </c>
      <c r="L24" s="57" t="str">
        <f t="shared" si="0"/>
        <v>도김영*</v>
      </c>
      <c r="M24" s="84">
        <f t="shared" si="1"/>
        <v>0</v>
      </c>
      <c r="P24" s="86" t="s">
        <v>183</v>
      </c>
    </row>
    <row r="25" spans="1:16" ht="30" customHeight="1">
      <c r="A25" s="7">
        <f t="shared" si="2"/>
        <v>19</v>
      </c>
      <c r="B25" s="60" t="s">
        <v>93</v>
      </c>
      <c r="C25" s="40" t="s">
        <v>58</v>
      </c>
      <c r="D25" s="76">
        <v>1351</v>
      </c>
      <c r="E25" s="76">
        <v>500</v>
      </c>
      <c r="F25" s="47" t="s">
        <v>60</v>
      </c>
      <c r="G25" s="88" t="s">
        <v>148</v>
      </c>
      <c r="H25" s="87">
        <v>0</v>
      </c>
      <c r="I25" s="87">
        <v>0</v>
      </c>
      <c r="J25" s="87">
        <v>0</v>
      </c>
      <c r="K25" s="129"/>
      <c r="L25" s="57" t="str">
        <f t="shared" si="0"/>
        <v>도국</v>
      </c>
      <c r="M25" s="84">
        <f t="shared" si="1"/>
        <v>851</v>
      </c>
      <c r="P25" s="86" t="s">
        <v>184</v>
      </c>
    </row>
    <row r="26" spans="1:16" ht="30" customHeight="1">
      <c r="A26" s="7">
        <f t="shared" si="2"/>
        <v>20</v>
      </c>
      <c r="B26" s="60" t="s">
        <v>99</v>
      </c>
      <c r="C26" s="40" t="s">
        <v>58</v>
      </c>
      <c r="D26" s="76">
        <v>53</v>
      </c>
      <c r="E26" s="76">
        <v>53</v>
      </c>
      <c r="F26" s="47" t="s">
        <v>60</v>
      </c>
      <c r="G26" s="88" t="s">
        <v>62</v>
      </c>
      <c r="H26" s="87">
        <v>0</v>
      </c>
      <c r="I26" s="87">
        <v>0</v>
      </c>
      <c r="J26" s="87">
        <v>0</v>
      </c>
      <c r="K26" s="129"/>
      <c r="L26" s="57" t="str">
        <f t="shared" si="0"/>
        <v>도국</v>
      </c>
      <c r="M26" s="84">
        <f t="shared" si="1"/>
        <v>0</v>
      </c>
      <c r="P26" s="86" t="s">
        <v>184</v>
      </c>
    </row>
    <row r="27" spans="1:16" ht="30" customHeight="1">
      <c r="A27" s="7">
        <f t="shared" si="2"/>
        <v>21</v>
      </c>
      <c r="B27" s="60" t="s">
        <v>100</v>
      </c>
      <c r="C27" s="40" t="s">
        <v>58</v>
      </c>
      <c r="D27" s="76">
        <v>101</v>
      </c>
      <c r="E27" s="76">
        <v>101</v>
      </c>
      <c r="F27" s="47" t="s">
        <v>60</v>
      </c>
      <c r="G27" s="88" t="s">
        <v>62</v>
      </c>
      <c r="H27" s="87">
        <v>0</v>
      </c>
      <c r="I27" s="87">
        <v>0</v>
      </c>
      <c r="J27" s="87">
        <v>0</v>
      </c>
      <c r="K27" s="128"/>
      <c r="L27" s="57" t="str">
        <f t="shared" si="0"/>
        <v>도국</v>
      </c>
      <c r="M27" s="84">
        <f t="shared" si="1"/>
        <v>0</v>
      </c>
      <c r="P27" s="86" t="s">
        <v>184</v>
      </c>
    </row>
    <row r="28" spans="1:16" ht="30" customHeight="1">
      <c r="A28" s="7">
        <f t="shared" si="2"/>
        <v>22</v>
      </c>
      <c r="B28" s="60" t="s">
        <v>101</v>
      </c>
      <c r="C28" s="40" t="s">
        <v>58</v>
      </c>
      <c r="D28" s="76">
        <v>71</v>
      </c>
      <c r="E28" s="76">
        <v>71</v>
      </c>
      <c r="F28" s="47" t="s">
        <v>60</v>
      </c>
      <c r="G28" s="88" t="s">
        <v>148</v>
      </c>
      <c r="H28" s="87">
        <v>0</v>
      </c>
      <c r="I28" s="87">
        <v>0</v>
      </c>
      <c r="J28" s="87">
        <v>0</v>
      </c>
      <c r="K28" s="128"/>
      <c r="L28" s="57" t="str">
        <f t="shared" si="0"/>
        <v>도국</v>
      </c>
      <c r="M28" s="84">
        <f t="shared" si="1"/>
        <v>0</v>
      </c>
      <c r="P28" s="86" t="s">
        <v>184</v>
      </c>
    </row>
    <row r="29" spans="1:16" ht="30" customHeight="1">
      <c r="A29" s="7">
        <f t="shared" si="2"/>
        <v>23</v>
      </c>
      <c r="B29" s="60" t="s">
        <v>103</v>
      </c>
      <c r="C29" s="40" t="s">
        <v>96</v>
      </c>
      <c r="D29" s="76">
        <v>49</v>
      </c>
      <c r="E29" s="76">
        <v>21</v>
      </c>
      <c r="F29" s="47" t="s">
        <v>60</v>
      </c>
      <c r="G29" s="88" t="s">
        <v>148</v>
      </c>
      <c r="H29" s="87">
        <v>0</v>
      </c>
      <c r="I29" s="87">
        <v>0</v>
      </c>
      <c r="J29" s="87">
        <v>0</v>
      </c>
      <c r="K29" s="128"/>
      <c r="L29" s="57" t="str">
        <f t="shared" si="0"/>
        <v>묘국</v>
      </c>
      <c r="M29" s="84">
        <f t="shared" si="1"/>
        <v>28</v>
      </c>
      <c r="P29" s="86" t="s">
        <v>184</v>
      </c>
    </row>
    <row r="30" spans="1:16" ht="30" customHeight="1">
      <c r="A30" s="7">
        <f t="shared" si="2"/>
        <v>24</v>
      </c>
      <c r="B30" s="60" t="s">
        <v>104</v>
      </c>
      <c r="C30" s="40" t="s">
        <v>58</v>
      </c>
      <c r="D30" s="76">
        <v>92</v>
      </c>
      <c r="E30" s="76">
        <v>92</v>
      </c>
      <c r="F30" s="47" t="s">
        <v>60</v>
      </c>
      <c r="G30" s="88" t="s">
        <v>148</v>
      </c>
      <c r="H30" s="87">
        <v>0</v>
      </c>
      <c r="I30" s="87">
        <v>0</v>
      </c>
      <c r="J30" s="87">
        <v>0</v>
      </c>
      <c r="K30" s="128"/>
      <c r="L30" s="57" t="str">
        <f t="shared" si="0"/>
        <v>도국</v>
      </c>
      <c r="M30" s="84">
        <f t="shared" si="1"/>
        <v>0</v>
      </c>
      <c r="P30" s="86" t="s">
        <v>184</v>
      </c>
    </row>
    <row r="31" spans="1:16" ht="30" customHeight="1">
      <c r="A31" s="7">
        <f t="shared" si="2"/>
        <v>25</v>
      </c>
      <c r="B31" s="60" t="s">
        <v>158</v>
      </c>
      <c r="C31" s="40" t="s">
        <v>59</v>
      </c>
      <c r="D31" s="76">
        <v>345</v>
      </c>
      <c r="E31" s="76">
        <v>192</v>
      </c>
      <c r="F31" s="47" t="s">
        <v>199</v>
      </c>
      <c r="G31" s="88" t="s">
        <v>191</v>
      </c>
      <c r="H31" s="87"/>
      <c r="I31" s="87"/>
      <c r="J31" s="87"/>
      <c r="K31" s="129" t="s">
        <v>188</v>
      </c>
      <c r="L31" s="57" t="str">
        <f t="shared" si="0"/>
        <v>임이준*</v>
      </c>
      <c r="M31" s="84">
        <f t="shared" si="1"/>
        <v>153</v>
      </c>
      <c r="P31" s="86" t="s">
        <v>183</v>
      </c>
    </row>
    <row r="32" spans="1:16" ht="30" customHeight="1">
      <c r="A32" s="7">
        <f t="shared" si="2"/>
        <v>26</v>
      </c>
      <c r="B32" s="60" t="s">
        <v>174</v>
      </c>
      <c r="C32" s="40" t="s">
        <v>175</v>
      </c>
      <c r="D32" s="76">
        <v>42</v>
      </c>
      <c r="E32" s="76">
        <v>17</v>
      </c>
      <c r="F32" s="47" t="s">
        <v>199</v>
      </c>
      <c r="G32" s="88" t="s">
        <v>191</v>
      </c>
      <c r="H32" s="87"/>
      <c r="I32" s="87"/>
      <c r="J32" s="87"/>
      <c r="K32" s="129" t="s">
        <v>188</v>
      </c>
      <c r="L32" s="57" t="str">
        <f t="shared" si="0"/>
        <v>도이준*</v>
      </c>
      <c r="M32" s="84">
        <f t="shared" si="1"/>
        <v>25</v>
      </c>
      <c r="P32" s="86" t="s">
        <v>183</v>
      </c>
    </row>
    <row r="33" spans="1:16" ht="30" customHeight="1">
      <c r="A33" s="7">
        <f t="shared" si="2"/>
        <v>27</v>
      </c>
      <c r="B33" s="60" t="s">
        <v>113</v>
      </c>
      <c r="C33" s="40" t="s">
        <v>59</v>
      </c>
      <c r="D33" s="76">
        <v>1063</v>
      </c>
      <c r="E33" s="76">
        <v>1063</v>
      </c>
      <c r="F33" s="47" t="s">
        <v>60</v>
      </c>
      <c r="G33" s="88" t="s">
        <v>62</v>
      </c>
      <c r="H33" s="87">
        <v>0</v>
      </c>
      <c r="I33" s="87">
        <v>0</v>
      </c>
      <c r="J33" s="87">
        <v>0</v>
      </c>
      <c r="K33" s="128"/>
      <c r="L33" s="57" t="str">
        <f t="shared" si="0"/>
        <v>임국</v>
      </c>
      <c r="M33" s="84">
        <f t="shared" si="1"/>
        <v>0</v>
      </c>
      <c r="P33" s="86" t="s">
        <v>184</v>
      </c>
    </row>
    <row r="34" spans="1:16" ht="30" customHeight="1">
      <c r="A34" s="7">
        <f t="shared" si="2"/>
        <v>28</v>
      </c>
      <c r="B34" s="60" t="s">
        <v>176</v>
      </c>
      <c r="C34" s="40" t="s">
        <v>175</v>
      </c>
      <c r="D34" s="76">
        <v>290</v>
      </c>
      <c r="E34" s="76">
        <v>11</v>
      </c>
      <c r="F34" s="47" t="s">
        <v>154</v>
      </c>
      <c r="G34" s="88" t="s">
        <v>155</v>
      </c>
      <c r="H34" s="87"/>
      <c r="I34" s="87"/>
      <c r="J34" s="87"/>
      <c r="K34" s="128"/>
      <c r="L34" s="57" t="str">
        <f t="shared" si="0"/>
        <v>도국</v>
      </c>
      <c r="M34" s="84">
        <f t="shared" si="1"/>
        <v>279</v>
      </c>
      <c r="P34" s="86" t="s">
        <v>184</v>
      </c>
    </row>
    <row r="35" spans="1:16" ht="30" customHeight="1">
      <c r="A35" s="7">
        <f t="shared" si="2"/>
        <v>29</v>
      </c>
      <c r="B35" s="61" t="s">
        <v>173</v>
      </c>
      <c r="C35" s="40" t="s">
        <v>58</v>
      </c>
      <c r="D35" s="76">
        <v>8</v>
      </c>
      <c r="E35" s="76">
        <v>8</v>
      </c>
      <c r="F35" s="47" t="s">
        <v>60</v>
      </c>
      <c r="G35" s="88" t="s">
        <v>62</v>
      </c>
      <c r="H35" s="87"/>
      <c r="I35" s="87"/>
      <c r="J35" s="87"/>
      <c r="K35" s="128"/>
      <c r="L35" s="57" t="str">
        <f t="shared" si="0"/>
        <v>도국</v>
      </c>
      <c r="M35" s="84">
        <f t="shared" si="1"/>
        <v>0</v>
      </c>
      <c r="P35" s="86" t="s">
        <v>184</v>
      </c>
    </row>
    <row r="36" spans="1:16" ht="30" customHeight="1">
      <c r="A36" s="7">
        <f t="shared" si="2"/>
        <v>30</v>
      </c>
      <c r="B36" s="61" t="s">
        <v>115</v>
      </c>
      <c r="C36" s="40" t="s">
        <v>58</v>
      </c>
      <c r="D36" s="76">
        <v>179</v>
      </c>
      <c r="E36" s="76">
        <v>168</v>
      </c>
      <c r="F36" s="47" t="s">
        <v>60</v>
      </c>
      <c r="G36" s="88" t="s">
        <v>62</v>
      </c>
      <c r="H36" s="87">
        <v>0</v>
      </c>
      <c r="I36" s="87">
        <v>0</v>
      </c>
      <c r="J36" s="87">
        <v>0</v>
      </c>
      <c r="K36" s="128"/>
      <c r="L36" s="57" t="str">
        <f t="shared" si="0"/>
        <v>도국</v>
      </c>
      <c r="M36" s="84">
        <f t="shared" si="1"/>
        <v>11</v>
      </c>
      <c r="P36" s="86" t="s">
        <v>184</v>
      </c>
    </row>
    <row r="37" spans="1:16" ht="30" customHeight="1">
      <c r="A37" s="7">
        <f t="shared" si="2"/>
        <v>31</v>
      </c>
      <c r="B37" s="61" t="s">
        <v>159</v>
      </c>
      <c r="C37" s="40" t="s">
        <v>59</v>
      </c>
      <c r="D37" s="76">
        <v>276</v>
      </c>
      <c r="E37" s="76">
        <v>25</v>
      </c>
      <c r="F37" s="47" t="s">
        <v>154</v>
      </c>
      <c r="G37" s="88" t="s">
        <v>155</v>
      </c>
      <c r="H37" s="87"/>
      <c r="I37" s="87"/>
      <c r="J37" s="87"/>
      <c r="K37" s="128"/>
      <c r="L37" s="57" t="str">
        <f t="shared" si="0"/>
        <v>임국</v>
      </c>
      <c r="M37" s="84">
        <f t="shared" si="1"/>
        <v>251</v>
      </c>
      <c r="P37" s="86" t="s">
        <v>184</v>
      </c>
    </row>
    <row r="38" spans="1:16" ht="30" customHeight="1">
      <c r="A38" s="7">
        <f t="shared" si="2"/>
        <v>32</v>
      </c>
      <c r="B38" s="60" t="s">
        <v>160</v>
      </c>
      <c r="C38" s="40" t="s">
        <v>58</v>
      </c>
      <c r="D38" s="76">
        <v>106</v>
      </c>
      <c r="E38" s="76">
        <v>1</v>
      </c>
      <c r="F38" s="47" t="s">
        <v>156</v>
      </c>
      <c r="G38" s="88" t="s">
        <v>157</v>
      </c>
      <c r="H38" s="87"/>
      <c r="I38" s="87"/>
      <c r="J38" s="87"/>
      <c r="K38" s="128"/>
      <c r="L38" s="57" t="str">
        <f t="shared" si="0"/>
        <v>도공</v>
      </c>
      <c r="M38" s="84">
        <f t="shared" si="1"/>
        <v>105</v>
      </c>
      <c r="P38" s="86" t="s">
        <v>184</v>
      </c>
    </row>
    <row r="39" spans="1:16" ht="30" customHeight="1">
      <c r="A39" s="7">
        <f t="shared" si="2"/>
        <v>33</v>
      </c>
      <c r="B39" s="60" t="s">
        <v>161</v>
      </c>
      <c r="C39" s="40" t="s">
        <v>59</v>
      </c>
      <c r="D39" s="76">
        <v>2110</v>
      </c>
      <c r="E39" s="76">
        <v>717</v>
      </c>
      <c r="F39" s="47" t="s">
        <v>154</v>
      </c>
      <c r="G39" s="88" t="s">
        <v>155</v>
      </c>
      <c r="H39" s="87"/>
      <c r="I39" s="87"/>
      <c r="J39" s="87"/>
      <c r="K39" s="128"/>
      <c r="L39" s="57" t="str">
        <f t="shared" si="0"/>
        <v>임국</v>
      </c>
      <c r="M39" s="84">
        <f t="shared" si="1"/>
        <v>1393</v>
      </c>
      <c r="P39" s="86" t="s">
        <v>184</v>
      </c>
    </row>
    <row r="40" spans="1:16" ht="30" customHeight="1">
      <c r="A40" s="7">
        <f t="shared" si="2"/>
        <v>34</v>
      </c>
      <c r="B40" s="60" t="s">
        <v>66</v>
      </c>
      <c r="C40" s="40" t="s">
        <v>58</v>
      </c>
      <c r="D40" s="76">
        <v>1610</v>
      </c>
      <c r="E40" s="76">
        <v>1565</v>
      </c>
      <c r="F40" s="47" t="s">
        <v>60</v>
      </c>
      <c r="G40" s="88" t="s">
        <v>62</v>
      </c>
      <c r="H40" s="87">
        <v>0</v>
      </c>
      <c r="I40" s="87">
        <v>0</v>
      </c>
      <c r="J40" s="87">
        <v>0</v>
      </c>
      <c r="K40" s="128"/>
      <c r="L40" s="57" t="str">
        <f t="shared" si="0"/>
        <v>도국</v>
      </c>
      <c r="M40" s="84">
        <f t="shared" si="1"/>
        <v>45</v>
      </c>
      <c r="P40" s="86" t="s">
        <v>184</v>
      </c>
    </row>
    <row r="41" spans="1:16" ht="30" customHeight="1">
      <c r="A41" s="7">
        <f t="shared" si="2"/>
        <v>35</v>
      </c>
      <c r="B41" s="60" t="s">
        <v>67</v>
      </c>
      <c r="C41" s="40" t="s">
        <v>58</v>
      </c>
      <c r="D41" s="76">
        <v>1002</v>
      </c>
      <c r="E41" s="76">
        <v>1002</v>
      </c>
      <c r="F41" s="47" t="s">
        <v>60</v>
      </c>
      <c r="G41" s="88" t="s">
        <v>62</v>
      </c>
      <c r="H41" s="87">
        <v>0</v>
      </c>
      <c r="I41" s="87">
        <v>0</v>
      </c>
      <c r="J41" s="87">
        <v>0</v>
      </c>
      <c r="K41" s="129"/>
      <c r="L41" s="57" t="str">
        <f t="shared" si="0"/>
        <v>도국</v>
      </c>
      <c r="M41" s="84">
        <f t="shared" si="1"/>
        <v>0</v>
      </c>
      <c r="P41" s="86" t="s">
        <v>184</v>
      </c>
    </row>
    <row r="42" spans="1:16" ht="30" customHeight="1">
      <c r="A42" s="7">
        <f t="shared" si="2"/>
        <v>36</v>
      </c>
      <c r="B42" s="60" t="s">
        <v>69</v>
      </c>
      <c r="C42" s="40" t="s">
        <v>58</v>
      </c>
      <c r="D42" s="76">
        <v>16</v>
      </c>
      <c r="E42" s="76">
        <v>16</v>
      </c>
      <c r="F42" s="47" t="s">
        <v>168</v>
      </c>
      <c r="G42" s="88" t="s">
        <v>169</v>
      </c>
      <c r="H42" s="87">
        <v>0</v>
      </c>
      <c r="I42" s="87">
        <v>0</v>
      </c>
      <c r="J42" s="87">
        <v>0</v>
      </c>
      <c r="K42" s="129"/>
      <c r="L42" s="57" t="str">
        <f t="shared" si="0"/>
        <v>도공</v>
      </c>
      <c r="M42" s="84">
        <f t="shared" si="1"/>
        <v>0</v>
      </c>
      <c r="P42" s="86" t="s">
        <v>184</v>
      </c>
    </row>
    <row r="43" spans="1:16" ht="30" customHeight="1">
      <c r="A43" s="7">
        <f t="shared" si="2"/>
        <v>37</v>
      </c>
      <c r="B43" s="60" t="s">
        <v>70</v>
      </c>
      <c r="C43" s="40" t="s">
        <v>58</v>
      </c>
      <c r="D43" s="76">
        <v>94</v>
      </c>
      <c r="E43" s="76">
        <v>94</v>
      </c>
      <c r="F43" s="47" t="s">
        <v>60</v>
      </c>
      <c r="G43" s="88" t="s">
        <v>62</v>
      </c>
      <c r="H43" s="87">
        <v>0</v>
      </c>
      <c r="I43" s="87">
        <v>0</v>
      </c>
      <c r="J43" s="87">
        <v>0</v>
      </c>
      <c r="K43" s="129"/>
      <c r="L43" s="57" t="str">
        <f t="shared" si="0"/>
        <v>도국</v>
      </c>
      <c r="M43" s="84">
        <f t="shared" si="1"/>
        <v>0</v>
      </c>
      <c r="P43" s="86" t="s">
        <v>184</v>
      </c>
    </row>
    <row r="44" spans="1:16" ht="30" customHeight="1">
      <c r="A44" s="7">
        <f t="shared" si="2"/>
        <v>38</v>
      </c>
      <c r="B44" s="60" t="s">
        <v>71</v>
      </c>
      <c r="C44" s="40" t="s">
        <v>58</v>
      </c>
      <c r="D44" s="76">
        <v>689</v>
      </c>
      <c r="E44" s="76">
        <v>689</v>
      </c>
      <c r="F44" s="47" t="s">
        <v>60</v>
      </c>
      <c r="G44" s="88" t="s">
        <v>62</v>
      </c>
      <c r="H44" s="87">
        <v>0</v>
      </c>
      <c r="I44" s="87">
        <v>0</v>
      </c>
      <c r="J44" s="87">
        <v>0</v>
      </c>
      <c r="K44" s="129"/>
      <c r="L44" s="57" t="str">
        <f t="shared" si="0"/>
        <v>도국</v>
      </c>
      <c r="M44" s="84">
        <f t="shared" si="1"/>
        <v>0</v>
      </c>
      <c r="P44" s="86" t="s">
        <v>184</v>
      </c>
    </row>
    <row r="45" spans="1:16" ht="30" customHeight="1">
      <c r="A45" s="7">
        <f t="shared" si="2"/>
        <v>39</v>
      </c>
      <c r="B45" s="60" t="s">
        <v>72</v>
      </c>
      <c r="C45" s="40" t="s">
        <v>58</v>
      </c>
      <c r="D45" s="76">
        <v>291</v>
      </c>
      <c r="E45" s="76">
        <v>291</v>
      </c>
      <c r="F45" s="47" t="s">
        <v>168</v>
      </c>
      <c r="G45" s="88" t="s">
        <v>169</v>
      </c>
      <c r="H45" s="87">
        <v>0</v>
      </c>
      <c r="I45" s="87">
        <v>0</v>
      </c>
      <c r="J45" s="87">
        <v>0</v>
      </c>
      <c r="K45" s="128"/>
      <c r="L45" s="57" t="str">
        <f t="shared" si="0"/>
        <v>도공</v>
      </c>
      <c r="M45" s="84">
        <f t="shared" si="1"/>
        <v>0</v>
      </c>
      <c r="P45" s="86" t="s">
        <v>184</v>
      </c>
    </row>
    <row r="46" spans="1:16" ht="30" customHeight="1">
      <c r="A46" s="7">
        <f t="shared" si="2"/>
        <v>40</v>
      </c>
      <c r="B46" s="60" t="s">
        <v>73</v>
      </c>
      <c r="C46" s="40" t="s">
        <v>58</v>
      </c>
      <c r="D46" s="76">
        <v>33</v>
      </c>
      <c r="E46" s="76">
        <v>33</v>
      </c>
      <c r="F46" s="47" t="s">
        <v>60</v>
      </c>
      <c r="G46" s="88" t="s">
        <v>62</v>
      </c>
      <c r="H46" s="87">
        <v>0</v>
      </c>
      <c r="I46" s="87">
        <v>0</v>
      </c>
      <c r="J46" s="87">
        <v>0</v>
      </c>
      <c r="K46" s="129"/>
      <c r="L46" s="57" t="str">
        <f t="shared" si="0"/>
        <v>도국</v>
      </c>
      <c r="M46" s="84">
        <f t="shared" si="1"/>
        <v>0</v>
      </c>
      <c r="P46" s="86" t="s">
        <v>184</v>
      </c>
    </row>
    <row r="47" spans="1:16" ht="30" customHeight="1">
      <c r="A47" s="7">
        <f t="shared" si="2"/>
        <v>41</v>
      </c>
      <c r="B47" s="60" t="s">
        <v>117</v>
      </c>
      <c r="C47" s="40" t="s">
        <v>59</v>
      </c>
      <c r="D47" s="76">
        <v>4465</v>
      </c>
      <c r="E47" s="76">
        <v>1995</v>
      </c>
      <c r="F47" s="47" t="s">
        <v>60</v>
      </c>
      <c r="G47" s="88" t="s">
        <v>62</v>
      </c>
      <c r="H47" s="87">
        <v>0</v>
      </c>
      <c r="I47" s="87">
        <v>0</v>
      </c>
      <c r="J47" s="87">
        <v>0</v>
      </c>
      <c r="K47" s="129"/>
      <c r="L47" s="57" t="str">
        <f t="shared" si="0"/>
        <v>임국</v>
      </c>
      <c r="M47" s="84">
        <f t="shared" si="1"/>
        <v>2470</v>
      </c>
      <c r="P47" s="86" t="s">
        <v>184</v>
      </c>
    </row>
    <row r="48" spans="1:16" ht="30" customHeight="1">
      <c r="A48" s="7">
        <f t="shared" si="2"/>
        <v>42</v>
      </c>
      <c r="B48" s="60" t="s">
        <v>74</v>
      </c>
      <c r="C48" s="40" t="s">
        <v>58</v>
      </c>
      <c r="D48" s="76">
        <v>277</v>
      </c>
      <c r="E48" s="76">
        <v>277</v>
      </c>
      <c r="F48" s="47" t="s">
        <v>60</v>
      </c>
      <c r="G48" s="88" t="s">
        <v>62</v>
      </c>
      <c r="H48" s="87">
        <v>0</v>
      </c>
      <c r="I48" s="87">
        <v>0</v>
      </c>
      <c r="J48" s="87">
        <v>0</v>
      </c>
      <c r="K48" s="129"/>
      <c r="L48" s="57" t="str">
        <f t="shared" si="0"/>
        <v>도국</v>
      </c>
      <c r="M48" s="84">
        <f t="shared" si="1"/>
        <v>0</v>
      </c>
      <c r="P48" s="86" t="s">
        <v>184</v>
      </c>
    </row>
    <row r="49" spans="1:16" ht="30" customHeight="1">
      <c r="A49" s="7">
        <f t="shared" si="2"/>
        <v>43</v>
      </c>
      <c r="B49" s="60" t="s">
        <v>75</v>
      </c>
      <c r="C49" s="40" t="s">
        <v>58</v>
      </c>
      <c r="D49" s="76">
        <v>99</v>
      </c>
      <c r="E49" s="76">
        <v>99</v>
      </c>
      <c r="F49" s="47" t="s">
        <v>60</v>
      </c>
      <c r="G49" s="88" t="s">
        <v>62</v>
      </c>
      <c r="H49" s="87">
        <v>0</v>
      </c>
      <c r="I49" s="87">
        <v>0</v>
      </c>
      <c r="J49" s="87">
        <v>0</v>
      </c>
      <c r="K49" s="129"/>
      <c r="L49" s="57" t="str">
        <f t="shared" si="0"/>
        <v>도국</v>
      </c>
      <c r="M49" s="84">
        <f t="shared" si="1"/>
        <v>0</v>
      </c>
      <c r="P49" s="86" t="s">
        <v>184</v>
      </c>
    </row>
    <row r="50" spans="1:16" ht="30" customHeight="1">
      <c r="A50" s="7">
        <f t="shared" si="2"/>
        <v>44</v>
      </c>
      <c r="B50" s="60" t="s">
        <v>76</v>
      </c>
      <c r="C50" s="40" t="s">
        <v>58</v>
      </c>
      <c r="D50" s="76">
        <v>60</v>
      </c>
      <c r="E50" s="76">
        <v>60</v>
      </c>
      <c r="F50" s="47" t="s">
        <v>168</v>
      </c>
      <c r="G50" s="88" t="s">
        <v>169</v>
      </c>
      <c r="H50" s="87">
        <v>0</v>
      </c>
      <c r="I50" s="87">
        <v>0</v>
      </c>
      <c r="J50" s="87">
        <v>0</v>
      </c>
      <c r="K50" s="129"/>
      <c r="L50" s="57" t="str">
        <f t="shared" si="0"/>
        <v>도공</v>
      </c>
      <c r="M50" s="84">
        <f t="shared" si="1"/>
        <v>0</v>
      </c>
      <c r="P50" s="86" t="s">
        <v>184</v>
      </c>
    </row>
    <row r="51" spans="1:16" ht="30" customHeight="1">
      <c r="A51" s="7">
        <f t="shared" si="2"/>
        <v>45</v>
      </c>
      <c r="B51" s="60" t="s">
        <v>118</v>
      </c>
      <c r="C51" s="40" t="s">
        <v>58</v>
      </c>
      <c r="D51" s="76">
        <v>234</v>
      </c>
      <c r="E51" s="76">
        <v>58</v>
      </c>
      <c r="F51" s="47" t="s">
        <v>60</v>
      </c>
      <c r="G51" s="88" t="s">
        <v>62</v>
      </c>
      <c r="H51" s="87">
        <v>0</v>
      </c>
      <c r="I51" s="87">
        <v>0</v>
      </c>
      <c r="J51" s="87">
        <v>0</v>
      </c>
      <c r="K51" s="129"/>
      <c r="L51" s="57" t="str">
        <f t="shared" si="0"/>
        <v>도국</v>
      </c>
      <c r="M51" s="84">
        <f t="shared" si="1"/>
        <v>176</v>
      </c>
      <c r="P51" s="86" t="s">
        <v>184</v>
      </c>
    </row>
    <row r="52" spans="1:16" ht="30" customHeight="1">
      <c r="A52" s="7">
        <f t="shared" si="2"/>
        <v>46</v>
      </c>
      <c r="B52" s="60" t="s">
        <v>119</v>
      </c>
      <c r="C52" s="40" t="s">
        <v>58</v>
      </c>
      <c r="D52" s="76">
        <v>222</v>
      </c>
      <c r="E52" s="76">
        <v>5</v>
      </c>
      <c r="F52" s="47" t="s">
        <v>60</v>
      </c>
      <c r="G52" s="88" t="s">
        <v>62</v>
      </c>
      <c r="H52" s="87">
        <v>0</v>
      </c>
      <c r="I52" s="87">
        <v>0</v>
      </c>
      <c r="J52" s="87">
        <v>0</v>
      </c>
      <c r="K52" s="129"/>
      <c r="L52" s="57" t="str">
        <f t="shared" si="0"/>
        <v>도국</v>
      </c>
      <c r="M52" s="84">
        <f t="shared" si="1"/>
        <v>217</v>
      </c>
      <c r="P52" s="86" t="s">
        <v>184</v>
      </c>
    </row>
    <row r="53" spans="1:16" ht="30" customHeight="1">
      <c r="A53" s="7">
        <f t="shared" si="2"/>
        <v>47</v>
      </c>
      <c r="B53" s="60" t="s">
        <v>120</v>
      </c>
      <c r="C53" s="40" t="s">
        <v>59</v>
      </c>
      <c r="D53" s="76">
        <v>671</v>
      </c>
      <c r="E53" s="76">
        <v>618</v>
      </c>
      <c r="F53" s="47" t="s">
        <v>60</v>
      </c>
      <c r="G53" s="88" t="s">
        <v>62</v>
      </c>
      <c r="H53" s="87">
        <v>0</v>
      </c>
      <c r="I53" s="87">
        <v>0</v>
      </c>
      <c r="J53" s="87">
        <v>0</v>
      </c>
      <c r="K53" s="129"/>
      <c r="L53" s="57" t="str">
        <f t="shared" si="0"/>
        <v>임국</v>
      </c>
      <c r="M53" s="84">
        <f t="shared" si="1"/>
        <v>53</v>
      </c>
      <c r="P53" s="86" t="s">
        <v>184</v>
      </c>
    </row>
    <row r="54" spans="1:16" ht="30" customHeight="1">
      <c r="A54" s="7">
        <f t="shared" si="2"/>
        <v>48</v>
      </c>
      <c r="B54" s="60" t="s">
        <v>121</v>
      </c>
      <c r="C54" s="40" t="s">
        <v>58</v>
      </c>
      <c r="D54" s="76">
        <v>974</v>
      </c>
      <c r="E54" s="76">
        <v>127</v>
      </c>
      <c r="F54" s="47" t="s">
        <v>60</v>
      </c>
      <c r="G54" s="88" t="s">
        <v>62</v>
      </c>
      <c r="H54" s="87">
        <v>0</v>
      </c>
      <c r="I54" s="87">
        <v>0</v>
      </c>
      <c r="J54" s="87">
        <v>0</v>
      </c>
      <c r="K54" s="129"/>
      <c r="L54" s="57" t="str">
        <f t="shared" si="0"/>
        <v>도국</v>
      </c>
      <c r="M54" s="84">
        <f t="shared" si="1"/>
        <v>847</v>
      </c>
      <c r="P54" s="86" t="s">
        <v>184</v>
      </c>
    </row>
    <row r="55" spans="1:16" ht="30" customHeight="1">
      <c r="A55" s="7">
        <f t="shared" si="2"/>
        <v>49</v>
      </c>
      <c r="B55" s="60" t="s">
        <v>78</v>
      </c>
      <c r="C55" s="40" t="s">
        <v>59</v>
      </c>
      <c r="D55" s="76">
        <v>863</v>
      </c>
      <c r="E55" s="76">
        <v>863</v>
      </c>
      <c r="F55" s="47" t="s">
        <v>60</v>
      </c>
      <c r="G55" s="88" t="s">
        <v>148</v>
      </c>
      <c r="H55" s="87">
        <v>0</v>
      </c>
      <c r="I55" s="87">
        <v>0</v>
      </c>
      <c r="J55" s="87">
        <v>0</v>
      </c>
      <c r="K55" s="129"/>
      <c r="L55" s="57" t="str">
        <f t="shared" si="0"/>
        <v>임국</v>
      </c>
      <c r="M55" s="84">
        <f t="shared" si="1"/>
        <v>0</v>
      </c>
      <c r="P55" s="86" t="s">
        <v>184</v>
      </c>
    </row>
    <row r="56" spans="1:16" ht="30" customHeight="1">
      <c r="A56" s="7">
        <f t="shared" si="2"/>
        <v>50</v>
      </c>
      <c r="B56" s="60" t="s">
        <v>122</v>
      </c>
      <c r="C56" s="40" t="s">
        <v>58</v>
      </c>
      <c r="D56" s="76">
        <v>1309</v>
      </c>
      <c r="E56" s="76">
        <v>989</v>
      </c>
      <c r="F56" s="47" t="s">
        <v>60</v>
      </c>
      <c r="G56" s="88" t="s">
        <v>62</v>
      </c>
      <c r="H56" s="87">
        <v>0</v>
      </c>
      <c r="I56" s="87">
        <v>0</v>
      </c>
      <c r="J56" s="87">
        <v>0</v>
      </c>
      <c r="K56" s="129"/>
      <c r="L56" s="57" t="str">
        <f t="shared" si="0"/>
        <v>도국</v>
      </c>
      <c r="M56" s="84">
        <f t="shared" si="1"/>
        <v>320</v>
      </c>
      <c r="P56" s="86" t="s">
        <v>184</v>
      </c>
    </row>
    <row r="57" spans="1:16" ht="30" customHeight="1">
      <c r="A57" s="7">
        <f t="shared" si="2"/>
        <v>51</v>
      </c>
      <c r="B57" s="60" t="s">
        <v>82</v>
      </c>
      <c r="C57" s="40" t="s">
        <v>58</v>
      </c>
      <c r="D57" s="76">
        <v>1220</v>
      </c>
      <c r="E57" s="76">
        <v>1220</v>
      </c>
      <c r="F57" s="47" t="s">
        <v>60</v>
      </c>
      <c r="G57" s="88" t="s">
        <v>62</v>
      </c>
      <c r="H57" s="87">
        <v>0</v>
      </c>
      <c r="I57" s="87">
        <v>0</v>
      </c>
      <c r="J57" s="87">
        <v>0</v>
      </c>
      <c r="K57" s="129"/>
      <c r="L57" s="57" t="str">
        <f t="shared" si="0"/>
        <v>도국</v>
      </c>
      <c r="M57" s="84">
        <f t="shared" si="1"/>
        <v>0</v>
      </c>
      <c r="P57" s="86" t="s">
        <v>184</v>
      </c>
    </row>
    <row r="58" spans="1:16" ht="30" customHeight="1">
      <c r="A58" s="7">
        <f t="shared" si="2"/>
        <v>52</v>
      </c>
      <c r="B58" s="60" t="s">
        <v>123</v>
      </c>
      <c r="C58" s="40" t="s">
        <v>59</v>
      </c>
      <c r="D58" s="76">
        <v>359</v>
      </c>
      <c r="E58" s="76">
        <v>74</v>
      </c>
      <c r="F58" s="47" t="s">
        <v>60</v>
      </c>
      <c r="G58" s="88" t="s">
        <v>62</v>
      </c>
      <c r="H58" s="87">
        <v>0</v>
      </c>
      <c r="I58" s="87">
        <v>0</v>
      </c>
      <c r="J58" s="87">
        <v>0</v>
      </c>
      <c r="K58" s="129"/>
      <c r="L58" s="57" t="str">
        <f t="shared" si="0"/>
        <v>임국</v>
      </c>
      <c r="M58" s="84">
        <f t="shared" si="1"/>
        <v>285</v>
      </c>
      <c r="P58" s="86" t="s">
        <v>184</v>
      </c>
    </row>
    <row r="59" spans="1:16" ht="30" customHeight="1">
      <c r="A59" s="7">
        <f t="shared" si="2"/>
        <v>53</v>
      </c>
      <c r="B59" s="60" t="s">
        <v>124</v>
      </c>
      <c r="C59" s="40" t="s">
        <v>59</v>
      </c>
      <c r="D59" s="76">
        <v>90</v>
      </c>
      <c r="E59" s="76">
        <v>4</v>
      </c>
      <c r="F59" s="47" t="s">
        <v>60</v>
      </c>
      <c r="G59" s="88" t="s">
        <v>62</v>
      </c>
      <c r="H59" s="87">
        <v>0</v>
      </c>
      <c r="I59" s="87">
        <v>0</v>
      </c>
      <c r="J59" s="87">
        <v>0</v>
      </c>
      <c r="K59" s="129"/>
      <c r="L59" s="57" t="str">
        <f t="shared" si="0"/>
        <v>임국</v>
      </c>
      <c r="M59" s="84">
        <f t="shared" si="1"/>
        <v>86</v>
      </c>
      <c r="P59" s="86" t="s">
        <v>184</v>
      </c>
    </row>
    <row r="60" spans="1:16" ht="30" customHeight="1">
      <c r="A60" s="7">
        <f t="shared" si="2"/>
        <v>54</v>
      </c>
      <c r="B60" s="60" t="s">
        <v>125</v>
      </c>
      <c r="C60" s="40" t="s">
        <v>58</v>
      </c>
      <c r="D60" s="76">
        <v>527</v>
      </c>
      <c r="E60" s="76">
        <v>527</v>
      </c>
      <c r="F60" s="47" t="s">
        <v>60</v>
      </c>
      <c r="G60" s="88" t="s">
        <v>62</v>
      </c>
      <c r="H60" s="87">
        <v>0</v>
      </c>
      <c r="I60" s="87">
        <v>0</v>
      </c>
      <c r="J60" s="87">
        <v>0</v>
      </c>
      <c r="K60" s="129"/>
      <c r="L60" s="57" t="str">
        <f t="shared" si="0"/>
        <v>도국</v>
      </c>
      <c r="M60" s="84">
        <f t="shared" si="1"/>
        <v>0</v>
      </c>
      <c r="P60" s="86" t="s">
        <v>184</v>
      </c>
    </row>
    <row r="61" spans="1:16" ht="30" customHeight="1">
      <c r="A61" s="7">
        <f t="shared" si="2"/>
        <v>55</v>
      </c>
      <c r="B61" s="60" t="s">
        <v>126</v>
      </c>
      <c r="C61" s="40" t="s">
        <v>58</v>
      </c>
      <c r="D61" s="76">
        <v>536</v>
      </c>
      <c r="E61" s="76">
        <v>510</v>
      </c>
      <c r="F61" s="47" t="s">
        <v>60</v>
      </c>
      <c r="G61" s="88" t="s">
        <v>62</v>
      </c>
      <c r="H61" s="87">
        <v>0</v>
      </c>
      <c r="I61" s="87">
        <v>0</v>
      </c>
      <c r="J61" s="87">
        <v>0</v>
      </c>
      <c r="K61" s="129"/>
      <c r="L61" s="57" t="str">
        <f t="shared" si="0"/>
        <v>도국</v>
      </c>
      <c r="M61" s="84">
        <f t="shared" si="1"/>
        <v>26</v>
      </c>
      <c r="P61" s="86" t="s">
        <v>184</v>
      </c>
    </row>
    <row r="62" spans="1:16" ht="30" customHeight="1">
      <c r="A62" s="7">
        <f t="shared" si="2"/>
        <v>56</v>
      </c>
      <c r="B62" s="60" t="s">
        <v>89</v>
      </c>
      <c r="C62" s="40" t="s">
        <v>58</v>
      </c>
      <c r="D62" s="76">
        <v>1200</v>
      </c>
      <c r="E62" s="76">
        <v>1200</v>
      </c>
      <c r="F62" s="47" t="s">
        <v>168</v>
      </c>
      <c r="G62" s="88" t="s">
        <v>169</v>
      </c>
      <c r="H62" s="87">
        <v>0</v>
      </c>
      <c r="I62" s="87">
        <v>0</v>
      </c>
      <c r="J62" s="87">
        <v>0</v>
      </c>
      <c r="K62" s="129"/>
      <c r="L62" s="57" t="str">
        <f t="shared" si="0"/>
        <v>도공</v>
      </c>
      <c r="M62" s="84">
        <f t="shared" si="1"/>
        <v>0</v>
      </c>
      <c r="P62" s="86" t="s">
        <v>184</v>
      </c>
    </row>
    <row r="63" spans="1:16" ht="30" customHeight="1">
      <c r="A63" s="7">
        <f t="shared" si="2"/>
        <v>57</v>
      </c>
      <c r="B63" s="60" t="s">
        <v>128</v>
      </c>
      <c r="C63" s="40" t="s">
        <v>59</v>
      </c>
      <c r="D63" s="76">
        <v>275</v>
      </c>
      <c r="E63" s="76">
        <v>270</v>
      </c>
      <c r="F63" s="47" t="s">
        <v>200</v>
      </c>
      <c r="G63" s="88" t="s">
        <v>171</v>
      </c>
      <c r="H63" s="87">
        <v>0</v>
      </c>
      <c r="I63" s="87">
        <v>0</v>
      </c>
      <c r="J63" s="87">
        <v>0</v>
      </c>
      <c r="K63" s="129" t="s">
        <v>188</v>
      </c>
      <c r="L63" s="57" t="str">
        <f t="shared" si="0"/>
        <v>임양근*</v>
      </c>
      <c r="M63" s="84">
        <f t="shared" si="1"/>
        <v>5</v>
      </c>
      <c r="P63" s="86" t="s">
        <v>183</v>
      </c>
    </row>
    <row r="64" spans="1:16" ht="30" customHeight="1">
      <c r="A64" s="7">
        <f t="shared" si="2"/>
        <v>58</v>
      </c>
      <c r="B64" s="60" t="s">
        <v>127</v>
      </c>
      <c r="C64" s="40" t="s">
        <v>59</v>
      </c>
      <c r="D64" s="76">
        <v>558</v>
      </c>
      <c r="E64" s="76">
        <v>40</v>
      </c>
      <c r="F64" s="47" t="s">
        <v>150</v>
      </c>
      <c r="G64" s="88" t="s">
        <v>192</v>
      </c>
      <c r="H64" s="87">
        <v>0</v>
      </c>
      <c r="I64" s="87">
        <v>0</v>
      </c>
      <c r="J64" s="87">
        <v>0</v>
      </c>
      <c r="K64" s="129" t="s">
        <v>188</v>
      </c>
      <c r="L64" s="57" t="str">
        <f t="shared" si="0"/>
        <v>임임병두</v>
      </c>
      <c r="M64" s="84">
        <f t="shared" si="1"/>
        <v>518</v>
      </c>
      <c r="P64" s="86" t="s">
        <v>183</v>
      </c>
    </row>
    <row r="65" spans="1:16" ht="30" customHeight="1">
      <c r="A65" s="7">
        <f t="shared" si="2"/>
        <v>59</v>
      </c>
      <c r="B65" s="60" t="s">
        <v>129</v>
      </c>
      <c r="C65" s="40" t="s">
        <v>58</v>
      </c>
      <c r="D65" s="76">
        <v>80</v>
      </c>
      <c r="E65" s="76">
        <v>80</v>
      </c>
      <c r="F65" s="47" t="s">
        <v>60</v>
      </c>
      <c r="G65" s="88" t="s">
        <v>62</v>
      </c>
      <c r="H65" s="87">
        <v>0</v>
      </c>
      <c r="I65" s="87">
        <v>0</v>
      </c>
      <c r="J65" s="87">
        <v>0</v>
      </c>
      <c r="K65" s="129"/>
      <c r="L65" s="57" t="str">
        <f t="shared" si="0"/>
        <v>도국</v>
      </c>
      <c r="M65" s="84">
        <f t="shared" si="1"/>
        <v>0</v>
      </c>
      <c r="P65" s="86" t="s">
        <v>184</v>
      </c>
    </row>
    <row r="66" spans="1:16" ht="30" customHeight="1">
      <c r="A66" s="7">
        <f t="shared" si="2"/>
        <v>60</v>
      </c>
      <c r="B66" s="60" t="s">
        <v>130</v>
      </c>
      <c r="C66" s="40" t="s">
        <v>58</v>
      </c>
      <c r="D66" s="76">
        <v>103</v>
      </c>
      <c r="E66" s="76">
        <v>103</v>
      </c>
      <c r="F66" s="47" t="s">
        <v>60</v>
      </c>
      <c r="G66" s="88" t="s">
        <v>62</v>
      </c>
      <c r="H66" s="87">
        <v>0</v>
      </c>
      <c r="I66" s="87">
        <v>0</v>
      </c>
      <c r="J66" s="87">
        <v>0</v>
      </c>
      <c r="K66" s="129"/>
      <c r="L66" s="57" t="str">
        <f t="shared" si="0"/>
        <v>도국</v>
      </c>
      <c r="M66" s="84">
        <f t="shared" si="1"/>
        <v>0</v>
      </c>
      <c r="P66" s="86" t="s">
        <v>184</v>
      </c>
    </row>
    <row r="67" spans="1:16" ht="30" customHeight="1">
      <c r="A67" s="7">
        <f t="shared" si="2"/>
        <v>61</v>
      </c>
      <c r="B67" s="60" t="s">
        <v>131</v>
      </c>
      <c r="C67" s="40" t="s">
        <v>59</v>
      </c>
      <c r="D67" s="76">
        <v>202</v>
      </c>
      <c r="E67" s="76">
        <v>202</v>
      </c>
      <c r="F67" s="47" t="s">
        <v>60</v>
      </c>
      <c r="G67" s="88" t="s">
        <v>148</v>
      </c>
      <c r="H67" s="87">
        <v>0</v>
      </c>
      <c r="I67" s="87">
        <v>0</v>
      </c>
      <c r="J67" s="87">
        <v>0</v>
      </c>
      <c r="K67" s="129"/>
      <c r="L67" s="57" t="str">
        <f t="shared" si="0"/>
        <v>임국</v>
      </c>
      <c r="M67" s="84">
        <f t="shared" si="1"/>
        <v>0</v>
      </c>
      <c r="P67" s="86" t="s">
        <v>184</v>
      </c>
    </row>
    <row r="68" spans="1:16" ht="30" customHeight="1">
      <c r="A68" s="7">
        <f t="shared" si="2"/>
        <v>62</v>
      </c>
      <c r="B68" s="60" t="s">
        <v>132</v>
      </c>
      <c r="C68" s="40" t="s">
        <v>59</v>
      </c>
      <c r="D68" s="76">
        <v>664</v>
      </c>
      <c r="E68" s="76">
        <v>365</v>
      </c>
      <c r="F68" s="47" t="s">
        <v>60</v>
      </c>
      <c r="G68" s="88" t="s">
        <v>148</v>
      </c>
      <c r="H68" s="87">
        <v>0</v>
      </c>
      <c r="I68" s="87">
        <v>0</v>
      </c>
      <c r="J68" s="87">
        <v>0</v>
      </c>
      <c r="K68" s="129"/>
      <c r="L68" s="57" t="str">
        <f t="shared" si="0"/>
        <v>임국</v>
      </c>
      <c r="M68" s="84">
        <f t="shared" si="1"/>
        <v>299</v>
      </c>
      <c r="P68" s="86" t="s">
        <v>184</v>
      </c>
    </row>
    <row r="69" spans="1:16" ht="30" customHeight="1">
      <c r="A69" s="7">
        <f t="shared" si="2"/>
        <v>63</v>
      </c>
      <c r="B69" s="60" t="s">
        <v>102</v>
      </c>
      <c r="C69" s="40" t="s">
        <v>58</v>
      </c>
      <c r="D69" s="76">
        <v>2501</v>
      </c>
      <c r="E69" s="76">
        <v>2501</v>
      </c>
      <c r="F69" s="47" t="s">
        <v>60</v>
      </c>
      <c r="G69" s="88" t="s">
        <v>62</v>
      </c>
      <c r="H69" s="87">
        <v>0</v>
      </c>
      <c r="I69" s="87">
        <v>0</v>
      </c>
      <c r="J69" s="87">
        <v>0</v>
      </c>
      <c r="K69" s="129"/>
      <c r="L69" s="57" t="str">
        <f t="shared" si="0"/>
        <v>도국</v>
      </c>
      <c r="M69" s="84">
        <f t="shared" si="1"/>
        <v>0</v>
      </c>
      <c r="P69" s="86" t="s">
        <v>184</v>
      </c>
    </row>
    <row r="70" spans="1:16" ht="30" customHeight="1">
      <c r="A70" s="7">
        <f t="shared" si="2"/>
        <v>64</v>
      </c>
      <c r="B70" s="60" t="s">
        <v>105</v>
      </c>
      <c r="C70" s="40" t="s">
        <v>58</v>
      </c>
      <c r="D70" s="76">
        <v>38</v>
      </c>
      <c r="E70" s="76">
        <v>38</v>
      </c>
      <c r="F70" s="47" t="s">
        <v>60</v>
      </c>
      <c r="G70" s="88" t="s">
        <v>62</v>
      </c>
      <c r="H70" s="87">
        <v>0</v>
      </c>
      <c r="I70" s="87">
        <v>0</v>
      </c>
      <c r="J70" s="87">
        <v>0</v>
      </c>
      <c r="K70" s="129"/>
      <c r="L70" s="57" t="str">
        <f t="shared" si="0"/>
        <v>도국</v>
      </c>
      <c r="M70" s="84">
        <f t="shared" si="1"/>
        <v>0</v>
      </c>
      <c r="P70" s="86" t="s">
        <v>184</v>
      </c>
    </row>
    <row r="71" spans="1:16" ht="30" customHeight="1">
      <c r="A71" s="7">
        <f t="shared" si="2"/>
        <v>65</v>
      </c>
      <c r="B71" s="60" t="s">
        <v>134</v>
      </c>
      <c r="C71" s="40" t="s">
        <v>6</v>
      </c>
      <c r="D71" s="76">
        <v>1922</v>
      </c>
      <c r="E71" s="76">
        <v>1807</v>
      </c>
      <c r="F71" s="47" t="s">
        <v>201</v>
      </c>
      <c r="G71" s="88" t="s">
        <v>189</v>
      </c>
      <c r="H71" s="87" t="s">
        <v>151</v>
      </c>
      <c r="I71" s="87" t="s">
        <v>152</v>
      </c>
      <c r="J71" s="87" t="s">
        <v>153</v>
      </c>
      <c r="K71" s="129" t="s">
        <v>188</v>
      </c>
      <c r="L71" s="57" t="str">
        <f t="shared" si="0"/>
        <v>답유정*</v>
      </c>
      <c r="M71" s="84">
        <f t="shared" si="1"/>
        <v>115</v>
      </c>
      <c r="P71" s="86" t="s">
        <v>183</v>
      </c>
    </row>
    <row r="72" spans="1:16" ht="30" customHeight="1">
      <c r="A72" s="7">
        <f t="shared" si="2"/>
        <v>66</v>
      </c>
      <c r="B72" s="60" t="s">
        <v>106</v>
      </c>
      <c r="C72" s="40" t="s">
        <v>58</v>
      </c>
      <c r="D72" s="76">
        <v>471</v>
      </c>
      <c r="E72" s="76">
        <v>471</v>
      </c>
      <c r="F72" s="47" t="s">
        <v>60</v>
      </c>
      <c r="G72" s="88" t="s">
        <v>148</v>
      </c>
      <c r="H72" s="87">
        <v>0</v>
      </c>
      <c r="I72" s="87">
        <v>0</v>
      </c>
      <c r="J72" s="87">
        <v>0</v>
      </c>
      <c r="K72" s="129"/>
      <c r="L72" s="57" t="str">
        <f t="shared" ref="L72:L99" si="3">CONCATENATE(C72,F72)</f>
        <v>도국</v>
      </c>
      <c r="M72" s="84">
        <f t="shared" ref="M72:M99" si="4">D72-E72</f>
        <v>0</v>
      </c>
      <c r="P72" s="86" t="s">
        <v>184</v>
      </c>
    </row>
    <row r="73" spans="1:16" ht="30" customHeight="1">
      <c r="A73" s="7">
        <f t="shared" si="2"/>
        <v>67</v>
      </c>
      <c r="B73" s="60" t="s">
        <v>133</v>
      </c>
      <c r="C73" s="40" t="s">
        <v>6</v>
      </c>
      <c r="D73" s="76">
        <v>69</v>
      </c>
      <c r="E73" s="76">
        <v>19</v>
      </c>
      <c r="F73" s="47" t="s">
        <v>60</v>
      </c>
      <c r="G73" s="88" t="s">
        <v>148</v>
      </c>
      <c r="H73" s="87">
        <v>0</v>
      </c>
      <c r="I73" s="87">
        <v>0</v>
      </c>
      <c r="J73" s="87">
        <v>0</v>
      </c>
      <c r="K73" s="129"/>
      <c r="L73" s="57" t="str">
        <f t="shared" si="3"/>
        <v>답국</v>
      </c>
      <c r="M73" s="84">
        <f t="shared" si="4"/>
        <v>50</v>
      </c>
      <c r="P73" s="86" t="s">
        <v>184</v>
      </c>
    </row>
    <row r="74" spans="1:16" ht="30" customHeight="1">
      <c r="A74" s="7">
        <f t="shared" si="2"/>
        <v>68</v>
      </c>
      <c r="B74" s="60" t="s">
        <v>135</v>
      </c>
      <c r="C74" s="40" t="s">
        <v>6</v>
      </c>
      <c r="D74" s="76">
        <v>1398</v>
      </c>
      <c r="E74" s="76">
        <v>684</v>
      </c>
      <c r="F74" s="47" t="s">
        <v>202</v>
      </c>
      <c r="G74" s="88" t="s">
        <v>193</v>
      </c>
      <c r="H74" s="87">
        <v>0</v>
      </c>
      <c r="I74" s="87">
        <v>0</v>
      </c>
      <c r="J74" s="87">
        <v>0</v>
      </c>
      <c r="K74" s="129" t="s">
        <v>188</v>
      </c>
      <c r="L74" s="57" t="str">
        <f t="shared" si="3"/>
        <v>답박종*</v>
      </c>
      <c r="M74" s="84">
        <f t="shared" si="4"/>
        <v>714</v>
      </c>
      <c r="P74" s="86" t="s">
        <v>183</v>
      </c>
    </row>
    <row r="75" spans="1:16" ht="30" customHeight="1">
      <c r="A75" s="7">
        <f t="shared" ref="A75:A101" si="5">A74+1</f>
        <v>69</v>
      </c>
      <c r="B75" s="60" t="s">
        <v>136</v>
      </c>
      <c r="C75" s="40" t="s">
        <v>5</v>
      </c>
      <c r="D75" s="76">
        <v>1134</v>
      </c>
      <c r="E75" s="76">
        <v>603</v>
      </c>
      <c r="F75" s="47" t="s">
        <v>201</v>
      </c>
      <c r="G75" s="88" t="s">
        <v>189</v>
      </c>
      <c r="H75" s="87" t="s">
        <v>151</v>
      </c>
      <c r="I75" s="87" t="s">
        <v>152</v>
      </c>
      <c r="J75" s="87" t="s">
        <v>153</v>
      </c>
      <c r="K75" s="129" t="s">
        <v>188</v>
      </c>
      <c r="L75" s="57" t="str">
        <f t="shared" si="3"/>
        <v>전유정*</v>
      </c>
      <c r="M75" s="84">
        <f t="shared" si="4"/>
        <v>531</v>
      </c>
      <c r="P75" s="86" t="s">
        <v>183</v>
      </c>
    </row>
    <row r="76" spans="1:16" ht="30" customHeight="1">
      <c r="A76" s="7">
        <f t="shared" si="5"/>
        <v>70</v>
      </c>
      <c r="B76" s="60" t="s">
        <v>137</v>
      </c>
      <c r="C76" s="40" t="s">
        <v>6</v>
      </c>
      <c r="D76" s="76">
        <v>1694</v>
      </c>
      <c r="E76" s="76">
        <v>1694</v>
      </c>
      <c r="F76" s="47" t="s">
        <v>201</v>
      </c>
      <c r="G76" s="88" t="s">
        <v>189</v>
      </c>
      <c r="H76" s="87" t="s">
        <v>151</v>
      </c>
      <c r="I76" s="87" t="s">
        <v>152</v>
      </c>
      <c r="J76" s="87" t="s">
        <v>153</v>
      </c>
      <c r="K76" s="129" t="s">
        <v>188</v>
      </c>
      <c r="L76" s="57" t="str">
        <f t="shared" si="3"/>
        <v>답유정*</v>
      </c>
      <c r="M76" s="84">
        <f t="shared" si="4"/>
        <v>0</v>
      </c>
      <c r="P76" s="86" t="s">
        <v>183</v>
      </c>
    </row>
    <row r="77" spans="1:16" ht="30" customHeight="1">
      <c r="A77" s="7">
        <f t="shared" si="5"/>
        <v>71</v>
      </c>
      <c r="B77" s="60" t="s">
        <v>138</v>
      </c>
      <c r="C77" s="40" t="s">
        <v>6</v>
      </c>
      <c r="D77" s="76">
        <v>3856</v>
      </c>
      <c r="E77" s="76">
        <v>2812</v>
      </c>
      <c r="F77" s="47" t="s">
        <v>202</v>
      </c>
      <c r="G77" s="88" t="s">
        <v>193</v>
      </c>
      <c r="H77" s="87">
        <v>0</v>
      </c>
      <c r="I77" s="87">
        <v>0</v>
      </c>
      <c r="J77" s="87">
        <v>0</v>
      </c>
      <c r="K77" s="129" t="s">
        <v>188</v>
      </c>
      <c r="L77" s="57" t="str">
        <f t="shared" si="3"/>
        <v>답박종*</v>
      </c>
      <c r="M77" s="84">
        <f t="shared" si="4"/>
        <v>1044</v>
      </c>
      <c r="P77" s="86" t="s">
        <v>183</v>
      </c>
    </row>
    <row r="78" spans="1:16" ht="30" customHeight="1">
      <c r="A78" s="7">
        <f t="shared" si="5"/>
        <v>72</v>
      </c>
      <c r="B78" s="60" t="s">
        <v>107</v>
      </c>
      <c r="C78" s="40" t="s">
        <v>58</v>
      </c>
      <c r="D78" s="76">
        <v>347</v>
      </c>
      <c r="E78" s="76">
        <v>347</v>
      </c>
      <c r="F78" s="47" t="s">
        <v>60</v>
      </c>
      <c r="G78" s="88" t="s">
        <v>62</v>
      </c>
      <c r="H78" s="87">
        <v>0</v>
      </c>
      <c r="I78" s="87">
        <v>0</v>
      </c>
      <c r="J78" s="87">
        <v>0</v>
      </c>
      <c r="K78" s="129"/>
      <c r="L78" s="57" t="str">
        <f t="shared" si="3"/>
        <v>도국</v>
      </c>
      <c r="M78" s="84">
        <f t="shared" si="4"/>
        <v>0</v>
      </c>
      <c r="P78" s="86" t="s">
        <v>184</v>
      </c>
    </row>
    <row r="79" spans="1:16" ht="30" customHeight="1">
      <c r="A79" s="7">
        <f t="shared" si="5"/>
        <v>73</v>
      </c>
      <c r="B79" s="60" t="s">
        <v>108</v>
      </c>
      <c r="C79" s="40" t="s">
        <v>58</v>
      </c>
      <c r="D79" s="76">
        <v>365</v>
      </c>
      <c r="E79" s="76">
        <v>326</v>
      </c>
      <c r="F79" s="47" t="s">
        <v>168</v>
      </c>
      <c r="G79" s="88" t="s">
        <v>169</v>
      </c>
      <c r="H79" s="87">
        <v>0</v>
      </c>
      <c r="I79" s="87">
        <v>0</v>
      </c>
      <c r="J79" s="87">
        <v>0</v>
      </c>
      <c r="K79" s="129"/>
      <c r="L79" s="57" t="str">
        <f t="shared" si="3"/>
        <v>도공</v>
      </c>
      <c r="M79" s="84">
        <f t="shared" si="4"/>
        <v>39</v>
      </c>
      <c r="P79" s="86" t="s">
        <v>184</v>
      </c>
    </row>
    <row r="80" spans="1:16" ht="30" customHeight="1">
      <c r="A80" s="7">
        <f t="shared" si="5"/>
        <v>74</v>
      </c>
      <c r="B80" s="60" t="s">
        <v>109</v>
      </c>
      <c r="C80" s="40" t="s">
        <v>58</v>
      </c>
      <c r="D80" s="76">
        <v>171</v>
      </c>
      <c r="E80" s="76">
        <v>171</v>
      </c>
      <c r="F80" s="47" t="s">
        <v>168</v>
      </c>
      <c r="G80" s="88" t="s">
        <v>169</v>
      </c>
      <c r="H80" s="87">
        <v>0</v>
      </c>
      <c r="I80" s="87">
        <v>0</v>
      </c>
      <c r="J80" s="87">
        <v>0</v>
      </c>
      <c r="K80" s="129"/>
      <c r="L80" s="57" t="str">
        <f t="shared" si="3"/>
        <v>도공</v>
      </c>
      <c r="M80" s="84">
        <f t="shared" si="4"/>
        <v>0</v>
      </c>
      <c r="P80" s="86" t="s">
        <v>184</v>
      </c>
    </row>
    <row r="81" spans="1:16" ht="30" customHeight="1">
      <c r="A81" s="7">
        <f t="shared" si="5"/>
        <v>75</v>
      </c>
      <c r="B81" s="60" t="s">
        <v>110</v>
      </c>
      <c r="C81" s="40" t="s">
        <v>58</v>
      </c>
      <c r="D81" s="76">
        <v>279</v>
      </c>
      <c r="E81" s="76">
        <v>279</v>
      </c>
      <c r="F81" s="47" t="s">
        <v>60</v>
      </c>
      <c r="G81" s="88" t="s">
        <v>62</v>
      </c>
      <c r="H81" s="87">
        <v>0</v>
      </c>
      <c r="I81" s="87">
        <v>0</v>
      </c>
      <c r="J81" s="87">
        <v>0</v>
      </c>
      <c r="K81" s="129"/>
      <c r="L81" s="57" t="str">
        <f t="shared" si="3"/>
        <v>도국</v>
      </c>
      <c r="M81" s="84">
        <f t="shared" si="4"/>
        <v>0</v>
      </c>
      <c r="P81" s="86" t="s">
        <v>184</v>
      </c>
    </row>
    <row r="82" spans="1:16" ht="30" customHeight="1">
      <c r="A82" s="7">
        <f t="shared" si="5"/>
        <v>76</v>
      </c>
      <c r="B82" s="60" t="s">
        <v>140</v>
      </c>
      <c r="C82" s="40" t="s">
        <v>58</v>
      </c>
      <c r="D82" s="76">
        <v>476</v>
      </c>
      <c r="E82" s="76">
        <v>405</v>
      </c>
      <c r="F82" s="47" t="s">
        <v>60</v>
      </c>
      <c r="G82" s="88" t="s">
        <v>62</v>
      </c>
      <c r="H82" s="87">
        <v>0</v>
      </c>
      <c r="I82" s="87">
        <v>0</v>
      </c>
      <c r="J82" s="87">
        <v>0</v>
      </c>
      <c r="K82" s="129"/>
      <c r="L82" s="57" t="str">
        <f t="shared" si="3"/>
        <v>도국</v>
      </c>
      <c r="M82" s="84">
        <f t="shared" si="4"/>
        <v>71</v>
      </c>
      <c r="P82" s="86" t="s">
        <v>184</v>
      </c>
    </row>
    <row r="83" spans="1:16" ht="30" customHeight="1">
      <c r="A83" s="7">
        <f t="shared" si="5"/>
        <v>77</v>
      </c>
      <c r="B83" s="60" t="s">
        <v>139</v>
      </c>
      <c r="C83" s="40" t="s">
        <v>6</v>
      </c>
      <c r="D83" s="76">
        <v>82</v>
      </c>
      <c r="E83" s="76">
        <v>22</v>
      </c>
      <c r="F83" s="47" t="s">
        <v>202</v>
      </c>
      <c r="G83" s="89" t="s">
        <v>194</v>
      </c>
      <c r="H83" s="87">
        <v>0</v>
      </c>
      <c r="I83" s="87">
        <v>0</v>
      </c>
      <c r="J83" s="87">
        <v>0</v>
      </c>
      <c r="K83" s="129" t="s">
        <v>188</v>
      </c>
      <c r="L83" s="57" t="str">
        <f t="shared" si="3"/>
        <v>답박종*</v>
      </c>
      <c r="M83" s="84">
        <f t="shared" si="4"/>
        <v>60</v>
      </c>
      <c r="P83" s="86" t="s">
        <v>183</v>
      </c>
    </row>
    <row r="84" spans="1:16" ht="30" customHeight="1">
      <c r="A84" s="7">
        <f t="shared" si="5"/>
        <v>78</v>
      </c>
      <c r="B84" s="60" t="s">
        <v>141</v>
      </c>
      <c r="C84" s="40" t="s">
        <v>58</v>
      </c>
      <c r="D84" s="76">
        <v>194</v>
      </c>
      <c r="E84" s="76">
        <v>146</v>
      </c>
      <c r="F84" s="47" t="s">
        <v>168</v>
      </c>
      <c r="G84" s="88" t="s">
        <v>169</v>
      </c>
      <c r="H84" s="87">
        <v>0</v>
      </c>
      <c r="I84" s="87">
        <v>0</v>
      </c>
      <c r="J84" s="87">
        <v>0</v>
      </c>
      <c r="K84" s="129"/>
      <c r="L84" s="57" t="str">
        <f t="shared" si="3"/>
        <v>도공</v>
      </c>
      <c r="M84" s="84">
        <f t="shared" si="4"/>
        <v>48</v>
      </c>
      <c r="P84" s="86" t="s">
        <v>184</v>
      </c>
    </row>
    <row r="85" spans="1:16" ht="30" customHeight="1">
      <c r="A85" s="7">
        <f>A84+1</f>
        <v>79</v>
      </c>
      <c r="B85" s="60" t="s">
        <v>142</v>
      </c>
      <c r="C85" s="40" t="s">
        <v>6</v>
      </c>
      <c r="D85" s="76">
        <v>239</v>
      </c>
      <c r="E85" s="76">
        <v>222</v>
      </c>
      <c r="F85" s="47" t="s">
        <v>60</v>
      </c>
      <c r="G85" s="88" t="s">
        <v>62</v>
      </c>
      <c r="H85" s="87">
        <v>0</v>
      </c>
      <c r="I85" s="87">
        <v>0</v>
      </c>
      <c r="J85" s="87">
        <v>0</v>
      </c>
      <c r="K85" s="129"/>
      <c r="L85" s="57" t="str">
        <f t="shared" si="3"/>
        <v>답국</v>
      </c>
      <c r="M85" s="84">
        <f t="shared" si="4"/>
        <v>17</v>
      </c>
      <c r="P85" s="86" t="s">
        <v>184</v>
      </c>
    </row>
    <row r="86" spans="1:16" ht="30" customHeight="1">
      <c r="A86" s="7">
        <f t="shared" si="5"/>
        <v>80</v>
      </c>
      <c r="B86" s="60" t="s">
        <v>143</v>
      </c>
      <c r="C86" s="40" t="s">
        <v>58</v>
      </c>
      <c r="D86" s="76">
        <v>40</v>
      </c>
      <c r="E86" s="76">
        <v>1</v>
      </c>
      <c r="F86" s="47" t="s">
        <v>60</v>
      </c>
      <c r="G86" s="88" t="s">
        <v>62</v>
      </c>
      <c r="H86" s="87">
        <v>0</v>
      </c>
      <c r="I86" s="87">
        <v>0</v>
      </c>
      <c r="J86" s="87">
        <v>0</v>
      </c>
      <c r="K86" s="129"/>
      <c r="L86" s="57" t="str">
        <f t="shared" si="3"/>
        <v>도국</v>
      </c>
      <c r="M86" s="84">
        <f t="shared" si="4"/>
        <v>39</v>
      </c>
      <c r="P86" s="86" t="s">
        <v>184</v>
      </c>
    </row>
    <row r="87" spans="1:16" ht="30" customHeight="1">
      <c r="A87" s="7">
        <f t="shared" si="5"/>
        <v>81</v>
      </c>
      <c r="B87" s="60" t="s">
        <v>111</v>
      </c>
      <c r="C87" s="40" t="s">
        <v>6</v>
      </c>
      <c r="D87" s="76">
        <v>334</v>
      </c>
      <c r="E87" s="76">
        <v>78</v>
      </c>
      <c r="F87" s="47" t="s">
        <v>203</v>
      </c>
      <c r="G87" s="88" t="s">
        <v>195</v>
      </c>
      <c r="H87" s="87">
        <v>0</v>
      </c>
      <c r="I87" s="87">
        <v>0</v>
      </c>
      <c r="J87" s="87">
        <v>0</v>
      </c>
      <c r="K87" s="129" t="s">
        <v>188</v>
      </c>
      <c r="L87" s="57" t="str">
        <f t="shared" si="3"/>
        <v>답이기*</v>
      </c>
      <c r="M87" s="84">
        <f t="shared" si="4"/>
        <v>256</v>
      </c>
      <c r="P87" s="86" t="s">
        <v>183</v>
      </c>
    </row>
    <row r="88" spans="1:16" ht="30" customHeight="1">
      <c r="A88" s="7">
        <f t="shared" si="5"/>
        <v>82</v>
      </c>
      <c r="B88" s="60" t="s">
        <v>112</v>
      </c>
      <c r="C88" s="40" t="s">
        <v>58</v>
      </c>
      <c r="D88" s="76">
        <v>959</v>
      </c>
      <c r="E88" s="76">
        <v>584</v>
      </c>
      <c r="F88" s="47" t="s">
        <v>60</v>
      </c>
      <c r="G88" s="88" t="s">
        <v>148</v>
      </c>
      <c r="H88" s="87">
        <v>0</v>
      </c>
      <c r="I88" s="87">
        <v>0</v>
      </c>
      <c r="J88" s="87">
        <v>0</v>
      </c>
      <c r="K88" s="129"/>
      <c r="L88" s="57" t="str">
        <f t="shared" si="3"/>
        <v>도국</v>
      </c>
      <c r="M88" s="84">
        <f t="shared" si="4"/>
        <v>375</v>
      </c>
      <c r="P88" s="86" t="s">
        <v>184</v>
      </c>
    </row>
    <row r="89" spans="1:16" ht="30" customHeight="1">
      <c r="A89" s="7">
        <f t="shared" si="5"/>
        <v>83</v>
      </c>
      <c r="B89" s="60" t="s">
        <v>177</v>
      </c>
      <c r="C89" s="40" t="s">
        <v>178</v>
      </c>
      <c r="D89" s="76">
        <v>102</v>
      </c>
      <c r="E89" s="76">
        <v>18</v>
      </c>
      <c r="F89" s="47" t="s">
        <v>154</v>
      </c>
      <c r="G89" s="88" t="s">
        <v>179</v>
      </c>
      <c r="H89" s="87"/>
      <c r="I89" s="87"/>
      <c r="J89" s="87"/>
      <c r="K89" s="129"/>
      <c r="L89" s="57" t="str">
        <f t="shared" si="3"/>
        <v>대국</v>
      </c>
      <c r="M89" s="84">
        <f t="shared" si="4"/>
        <v>84</v>
      </c>
      <c r="P89" s="86" t="s">
        <v>184</v>
      </c>
    </row>
    <row r="90" spans="1:16" ht="30" customHeight="1">
      <c r="A90" s="7">
        <f t="shared" si="5"/>
        <v>84</v>
      </c>
      <c r="B90" s="60" t="s">
        <v>144</v>
      </c>
      <c r="C90" s="40" t="s">
        <v>58</v>
      </c>
      <c r="D90" s="76">
        <v>589</v>
      </c>
      <c r="E90" s="76">
        <v>579</v>
      </c>
      <c r="F90" s="47" t="s">
        <v>60</v>
      </c>
      <c r="G90" s="88" t="s">
        <v>62</v>
      </c>
      <c r="H90" s="87">
        <v>0</v>
      </c>
      <c r="I90" s="87">
        <v>0</v>
      </c>
      <c r="J90" s="87">
        <v>0</v>
      </c>
      <c r="K90" s="129"/>
      <c r="L90" s="57" t="str">
        <f t="shared" si="3"/>
        <v>도국</v>
      </c>
      <c r="M90" s="84">
        <f t="shared" si="4"/>
        <v>10</v>
      </c>
      <c r="P90" s="86" t="s">
        <v>184</v>
      </c>
    </row>
    <row r="91" spans="1:16" ht="30" customHeight="1">
      <c r="A91" s="7">
        <f t="shared" si="5"/>
        <v>85</v>
      </c>
      <c r="B91" s="60" t="s">
        <v>145</v>
      </c>
      <c r="C91" s="40" t="s">
        <v>58</v>
      </c>
      <c r="D91" s="76">
        <v>110</v>
      </c>
      <c r="E91" s="76">
        <v>40</v>
      </c>
      <c r="F91" s="47" t="s">
        <v>60</v>
      </c>
      <c r="G91" s="88" t="s">
        <v>62</v>
      </c>
      <c r="H91" s="87">
        <v>0</v>
      </c>
      <c r="I91" s="87">
        <v>0</v>
      </c>
      <c r="J91" s="87">
        <v>0</v>
      </c>
      <c r="K91" s="129"/>
      <c r="L91" s="57" t="str">
        <f t="shared" si="3"/>
        <v>도국</v>
      </c>
      <c r="M91" s="84">
        <f t="shared" si="4"/>
        <v>70</v>
      </c>
      <c r="P91" s="86" t="s">
        <v>184</v>
      </c>
    </row>
    <row r="92" spans="1:16" ht="30" customHeight="1">
      <c r="A92" s="7">
        <f t="shared" si="5"/>
        <v>86</v>
      </c>
      <c r="B92" s="60" t="s">
        <v>114</v>
      </c>
      <c r="C92" s="40" t="s">
        <v>58</v>
      </c>
      <c r="D92" s="76">
        <v>223</v>
      </c>
      <c r="E92" s="76">
        <v>156</v>
      </c>
      <c r="F92" s="47" t="s">
        <v>60</v>
      </c>
      <c r="G92" s="88" t="s">
        <v>62</v>
      </c>
      <c r="H92" s="87">
        <v>0</v>
      </c>
      <c r="I92" s="87">
        <v>0</v>
      </c>
      <c r="J92" s="87">
        <v>0</v>
      </c>
      <c r="K92" s="129"/>
      <c r="L92" s="57" t="str">
        <f t="shared" si="3"/>
        <v>도국</v>
      </c>
      <c r="M92" s="84">
        <f t="shared" si="4"/>
        <v>67</v>
      </c>
      <c r="P92" s="86" t="s">
        <v>184</v>
      </c>
    </row>
    <row r="93" spans="1:16" ht="30" customHeight="1">
      <c r="A93" s="7">
        <f>A92+1</f>
        <v>87</v>
      </c>
      <c r="B93" s="60" t="s">
        <v>116</v>
      </c>
      <c r="C93" s="40" t="s">
        <v>59</v>
      </c>
      <c r="D93" s="76">
        <v>1212</v>
      </c>
      <c r="E93" s="76">
        <v>717</v>
      </c>
      <c r="F93" s="47" t="s">
        <v>60</v>
      </c>
      <c r="G93" s="88" t="s">
        <v>62</v>
      </c>
      <c r="H93" s="87">
        <v>0</v>
      </c>
      <c r="I93" s="87">
        <v>0</v>
      </c>
      <c r="J93" s="87">
        <v>0</v>
      </c>
      <c r="K93" s="129"/>
      <c r="L93" s="57" t="str">
        <f t="shared" si="3"/>
        <v>임국</v>
      </c>
      <c r="M93" s="84">
        <f t="shared" si="4"/>
        <v>495</v>
      </c>
      <c r="P93" s="86" t="s">
        <v>184</v>
      </c>
    </row>
    <row r="94" spans="1:16" ht="30" customHeight="1">
      <c r="A94" s="7">
        <f t="shared" si="5"/>
        <v>88</v>
      </c>
      <c r="B94" s="60" t="s">
        <v>162</v>
      </c>
      <c r="C94" s="40" t="s">
        <v>58</v>
      </c>
      <c r="D94" s="76">
        <v>1235</v>
      </c>
      <c r="E94" s="76">
        <v>545</v>
      </c>
      <c r="F94" s="47" t="s">
        <v>154</v>
      </c>
      <c r="G94" s="88" t="s">
        <v>155</v>
      </c>
      <c r="H94" s="87"/>
      <c r="I94" s="87"/>
      <c r="J94" s="87"/>
      <c r="K94" s="129"/>
      <c r="L94" s="57" t="str">
        <f t="shared" si="3"/>
        <v>도국</v>
      </c>
      <c r="M94" s="84">
        <f t="shared" si="4"/>
        <v>690</v>
      </c>
      <c r="P94" s="86" t="s">
        <v>184</v>
      </c>
    </row>
    <row r="95" spans="1:16" ht="30" customHeight="1">
      <c r="A95" s="7">
        <f t="shared" si="5"/>
        <v>89</v>
      </c>
      <c r="B95" s="60" t="s">
        <v>163</v>
      </c>
      <c r="C95" s="40" t="s">
        <v>58</v>
      </c>
      <c r="D95" s="76">
        <v>622</v>
      </c>
      <c r="E95" s="76">
        <v>214</v>
      </c>
      <c r="F95" s="47" t="s">
        <v>156</v>
      </c>
      <c r="G95" s="88" t="s">
        <v>157</v>
      </c>
      <c r="H95" s="87"/>
      <c r="I95" s="87"/>
      <c r="J95" s="87"/>
      <c r="K95" s="129"/>
      <c r="L95" s="57" t="str">
        <f t="shared" si="3"/>
        <v>도공</v>
      </c>
      <c r="M95" s="84">
        <f t="shared" si="4"/>
        <v>408</v>
      </c>
      <c r="P95" s="86" t="s">
        <v>184</v>
      </c>
    </row>
    <row r="96" spans="1:16" ht="30" customHeight="1">
      <c r="A96" s="7">
        <f t="shared" si="5"/>
        <v>90</v>
      </c>
      <c r="B96" s="60" t="s">
        <v>164</v>
      </c>
      <c r="C96" s="40" t="s">
        <v>58</v>
      </c>
      <c r="D96" s="76">
        <v>211</v>
      </c>
      <c r="E96" s="76">
        <v>12</v>
      </c>
      <c r="F96" s="47" t="s">
        <v>156</v>
      </c>
      <c r="G96" s="88" t="s">
        <v>157</v>
      </c>
      <c r="H96" s="87"/>
      <c r="I96" s="87"/>
      <c r="J96" s="87"/>
      <c r="K96" s="129"/>
      <c r="L96" s="57" t="str">
        <f t="shared" si="3"/>
        <v>도공</v>
      </c>
      <c r="M96" s="84">
        <f t="shared" si="4"/>
        <v>199</v>
      </c>
      <c r="P96" s="86" t="s">
        <v>184</v>
      </c>
    </row>
    <row r="97" spans="1:16" ht="30" customHeight="1">
      <c r="A97" s="7">
        <f t="shared" si="5"/>
        <v>91</v>
      </c>
      <c r="B97" s="60" t="s">
        <v>165</v>
      </c>
      <c r="C97" s="40" t="s">
        <v>58</v>
      </c>
      <c r="D97" s="76">
        <v>1935</v>
      </c>
      <c r="E97" s="76">
        <v>1</v>
      </c>
      <c r="F97" s="47" t="s">
        <v>154</v>
      </c>
      <c r="G97" s="88" t="s">
        <v>155</v>
      </c>
      <c r="H97" s="87"/>
      <c r="I97" s="87"/>
      <c r="J97" s="87"/>
      <c r="K97" s="129"/>
      <c r="L97" s="57" t="str">
        <f t="shared" si="3"/>
        <v>도국</v>
      </c>
      <c r="M97" s="84">
        <f t="shared" si="4"/>
        <v>1934</v>
      </c>
      <c r="P97" s="86" t="s">
        <v>184</v>
      </c>
    </row>
    <row r="98" spans="1:16" ht="30" customHeight="1">
      <c r="A98" s="7">
        <f t="shared" si="5"/>
        <v>92</v>
      </c>
      <c r="B98" s="60" t="s">
        <v>166</v>
      </c>
      <c r="C98" s="40" t="s">
        <v>59</v>
      </c>
      <c r="D98" s="76">
        <v>2088</v>
      </c>
      <c r="E98" s="76">
        <v>6</v>
      </c>
      <c r="F98" s="47" t="s">
        <v>154</v>
      </c>
      <c r="G98" s="88" t="s">
        <v>155</v>
      </c>
      <c r="H98" s="87"/>
      <c r="I98" s="87"/>
      <c r="J98" s="87"/>
      <c r="K98" s="129"/>
      <c r="L98" s="57" t="str">
        <f t="shared" si="3"/>
        <v>임국</v>
      </c>
      <c r="M98" s="84">
        <f t="shared" si="4"/>
        <v>2082</v>
      </c>
      <c r="P98" s="86" t="s">
        <v>184</v>
      </c>
    </row>
    <row r="99" spans="1:16" ht="30" customHeight="1">
      <c r="A99" s="7">
        <f t="shared" si="5"/>
        <v>93</v>
      </c>
      <c r="B99" s="60" t="s">
        <v>180</v>
      </c>
      <c r="C99" s="40" t="s">
        <v>181</v>
      </c>
      <c r="D99" s="76">
        <v>7</v>
      </c>
      <c r="E99" s="76">
        <v>1</v>
      </c>
      <c r="F99" s="47" t="s">
        <v>199</v>
      </c>
      <c r="G99" s="88" t="s">
        <v>191</v>
      </c>
      <c r="H99" s="87"/>
      <c r="I99" s="87"/>
      <c r="J99" s="87"/>
      <c r="K99" s="129" t="s">
        <v>188</v>
      </c>
      <c r="L99" s="57" t="str">
        <f t="shared" si="3"/>
        <v>임이준*</v>
      </c>
      <c r="M99" s="84">
        <f t="shared" si="4"/>
        <v>6</v>
      </c>
      <c r="P99" s="86" t="s">
        <v>183</v>
      </c>
    </row>
    <row r="100" spans="1:16" ht="30" customHeight="1">
      <c r="A100" s="7">
        <f t="shared" si="5"/>
        <v>94</v>
      </c>
      <c r="B100" s="60" t="s">
        <v>182</v>
      </c>
      <c r="C100" s="40" t="s">
        <v>181</v>
      </c>
      <c r="D100" s="76">
        <v>637</v>
      </c>
      <c r="E100" s="76">
        <v>15</v>
      </c>
      <c r="F100" s="47" t="s">
        <v>199</v>
      </c>
      <c r="G100" s="88" t="s">
        <v>191</v>
      </c>
      <c r="H100" s="87"/>
      <c r="I100" s="87"/>
      <c r="J100" s="87"/>
      <c r="K100" s="129" t="s">
        <v>188</v>
      </c>
      <c r="L100" s="57" t="str">
        <f>CONCATENATE(C100,F100)</f>
        <v>임이준*</v>
      </c>
      <c r="M100" s="84">
        <f>D100-E100</f>
        <v>622</v>
      </c>
      <c r="P100" s="86" t="s">
        <v>183</v>
      </c>
    </row>
    <row r="101" spans="1:16" ht="30" customHeight="1">
      <c r="A101" s="7">
        <f t="shared" si="5"/>
        <v>95</v>
      </c>
      <c r="B101" s="60" t="s">
        <v>167</v>
      </c>
      <c r="C101" s="40" t="s">
        <v>172</v>
      </c>
      <c r="D101" s="76"/>
      <c r="E101" s="76">
        <v>660039</v>
      </c>
      <c r="F101" s="47" t="s">
        <v>154</v>
      </c>
      <c r="G101" s="88"/>
      <c r="H101" s="87"/>
      <c r="I101" s="87"/>
      <c r="J101" s="87"/>
      <c r="K101" s="129"/>
      <c r="L101" s="57" t="str">
        <f>CONCATENATE(C101,F101)</f>
        <v>해국</v>
      </c>
      <c r="M101" s="84">
        <f>D101-E101</f>
        <v>-660039</v>
      </c>
      <c r="P101" s="86" t="s">
        <v>184</v>
      </c>
    </row>
    <row r="102" spans="1:16" ht="30" customHeight="1">
      <c r="A102" s="7"/>
      <c r="B102" s="60"/>
      <c r="C102" s="40"/>
      <c r="D102" s="76"/>
      <c r="E102" s="76"/>
      <c r="F102" s="47"/>
      <c r="G102" s="90"/>
      <c r="H102" s="87"/>
      <c r="I102" s="87"/>
      <c r="J102" s="87"/>
      <c r="K102" s="129"/>
    </row>
    <row r="103" spans="1:16" ht="30" customHeight="1">
      <c r="A103" s="7"/>
      <c r="B103" s="60"/>
      <c r="C103" s="40"/>
      <c r="D103" s="76"/>
      <c r="E103" s="76"/>
      <c r="F103" s="47"/>
      <c r="G103" s="90"/>
      <c r="H103" s="87"/>
      <c r="I103" s="87"/>
      <c r="J103" s="87"/>
      <c r="K103" s="129"/>
    </row>
    <row r="104" spans="1:16" ht="30" customHeight="1">
      <c r="A104" s="7"/>
      <c r="B104" s="60"/>
      <c r="C104" s="40"/>
      <c r="D104" s="76"/>
      <c r="E104" s="76"/>
      <c r="F104" s="47"/>
      <c r="G104" s="90"/>
      <c r="H104" s="87"/>
      <c r="I104" s="87"/>
      <c r="J104" s="87"/>
      <c r="K104" s="129"/>
    </row>
    <row r="105" spans="1:16" ht="30" customHeight="1">
      <c r="A105" s="7"/>
      <c r="B105" s="60"/>
      <c r="C105" s="40"/>
      <c r="D105" s="76"/>
      <c r="E105" s="76"/>
      <c r="F105" s="47"/>
      <c r="G105" s="90"/>
      <c r="H105" s="87"/>
      <c r="I105" s="87"/>
      <c r="J105" s="87"/>
      <c r="K105" s="129"/>
    </row>
    <row r="106" spans="1:16" ht="30" customHeight="1">
      <c r="A106" s="7"/>
      <c r="B106" s="60"/>
      <c r="C106" s="40"/>
      <c r="D106" s="76"/>
      <c r="E106" s="76"/>
      <c r="F106" s="47"/>
      <c r="G106" s="90"/>
      <c r="H106" s="87"/>
      <c r="I106" s="87"/>
      <c r="J106" s="87"/>
      <c r="K106" s="129"/>
    </row>
    <row r="107" spans="1:16" ht="30" customHeight="1">
      <c r="A107" s="7"/>
      <c r="B107" s="80"/>
      <c r="C107" s="79"/>
      <c r="D107" s="81"/>
      <c r="E107" s="82"/>
      <c r="F107" s="83"/>
      <c r="G107" s="79"/>
      <c r="H107" s="79"/>
      <c r="I107" s="79"/>
      <c r="J107" s="79"/>
      <c r="K107" s="130"/>
    </row>
    <row r="108" spans="1:16" ht="30" customHeight="1"/>
    <row r="109" spans="1:16" ht="30" customHeight="1"/>
    <row r="110" spans="1:16" ht="30" customHeight="1"/>
    <row r="111" spans="1:16" ht="30" customHeight="1"/>
    <row r="112" spans="1:16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</sheetData>
  <autoFilter ref="A6:P101"/>
  <mergeCells count="1">
    <mergeCell ref="B4:B5"/>
  </mergeCells>
  <phoneticPr fontId="6" type="noConversion"/>
  <conditionalFormatting sqref="B107:B65536 B1:B5 B7:B8 B10:B26">
    <cfRule type="duplicateValues" dxfId="8" priority="9" stopIfTrue="1"/>
  </conditionalFormatting>
  <conditionalFormatting sqref="B6">
    <cfRule type="duplicateValues" dxfId="7" priority="8" stopIfTrue="1"/>
  </conditionalFormatting>
  <conditionalFormatting sqref="B6">
    <cfRule type="duplicateValues" dxfId="6" priority="7" stopIfTrue="1"/>
  </conditionalFormatting>
  <conditionalFormatting sqref="B9">
    <cfRule type="duplicateValues" dxfId="5" priority="6" stopIfTrue="1"/>
  </conditionalFormatting>
  <conditionalFormatting sqref="B27:B28 B30:B48">
    <cfRule type="duplicateValues" dxfId="4" priority="5" stopIfTrue="1"/>
  </conditionalFormatting>
  <conditionalFormatting sqref="B29">
    <cfRule type="duplicateValues" dxfId="3" priority="4" stopIfTrue="1"/>
  </conditionalFormatting>
  <conditionalFormatting sqref="B100">
    <cfRule type="duplicateValues" dxfId="2" priority="2" stopIfTrue="1"/>
  </conditionalFormatting>
  <conditionalFormatting sqref="B101">
    <cfRule type="duplicateValues" dxfId="1" priority="1" stopIfTrue="1"/>
  </conditionalFormatting>
  <conditionalFormatting sqref="B102:B106 B49:B99">
    <cfRule type="duplicateValues" dxfId="0" priority="23" stopIfTrue="1"/>
  </conditionalFormatting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88" fitToHeight="0" orientation="landscape" r:id="rId1"/>
  <headerFooter alignWithMargins="0"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전체집계표</vt:lpstr>
      <vt:lpstr>집계표</vt:lpstr>
      <vt:lpstr>백련리(국공유지포함)</vt:lpstr>
      <vt:lpstr>'백련리(국공유지포함)'!Print_Area</vt:lpstr>
      <vt:lpstr>전체집계표!Print_Area</vt:lpstr>
      <vt:lpstr>집계표!Print_Area</vt:lpstr>
      <vt:lpstr>'백련리(국공유지포함)'!Print_Titles</vt:lpstr>
      <vt:lpstr>집계표!Print_Titles</vt:lpstr>
    </vt:vector>
  </TitlesOfParts>
  <Manager>이중훈</Manager>
  <Company>청석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도로조서</dc:title>
  <dc:creator>박신혜</dc:creator>
  <cp:lastModifiedBy>user</cp:lastModifiedBy>
  <cp:lastPrinted>2026-03-06T06:09:29Z</cp:lastPrinted>
  <dcterms:created xsi:type="dcterms:W3CDTF">2003-05-28T02:36:37Z</dcterms:created>
  <dcterms:modified xsi:type="dcterms:W3CDTF">2026-09-23T00:33:53Z</dcterms:modified>
</cp:coreProperties>
</file>